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<sst xmlns="http://schemas.openxmlformats.org/spreadsheetml/2006/main" count="53" uniqueCount="50">
  <si>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</si>
  <si>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</si>
  <si>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</si>
  <si>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</si>
  <si>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</si>
  <si>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</si>
  <si>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</si>
  <si>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</si>
  <si>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</si>
  <si>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</si>
  <si>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</si>
  <si>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</si>
  <si>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</si>
  <si>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</si>
  <si>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</si>
  <si>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</si>
  <si>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</si>
  <si>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</si>
  <si>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</si>
  <si>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</si>
  <si>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</si>
  <si>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</si>
  <si>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</si>
  <si>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</si>
  <si>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</si>
  <si>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</si>
  <si>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</si>
  <si>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</si>
  <si>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</si>
  <si>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</si>
  <si>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</si>
  <si>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</si>
  <si>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</si>
  <si>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</si>
  <si>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</si>
  <si>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</si>
  <si>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</si>
  <si>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G4817-0087_CMi.xls</t>
  </si>
  <si>
    <t>EW</t>
  </si>
  <si>
    <t>IBVS 5458 Eph.</t>
  </si>
  <si>
    <t>IBVS 5458</t>
  </si>
  <si>
    <t>CMi</t>
  </si>
  <si>
    <t>Nelson</t>
  </si>
  <si>
    <t>DS CMi / GSC 4817-0087</t>
  </si>
  <si>
    <t>IBVS 6092</t>
  </si>
  <si>
    <t>Add cycle</t>
  </si>
  <si>
    <t>Old Cycle</t>
  </si>
  <si>
    <t>IBVS 6149</t>
  </si>
  <si>
    <t>RHN 2016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</si>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</sst>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 vertical="top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Fill="1" applyBorder="1" applyAlignment="1">
      <alignment vertical="top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2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DS CMi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</c:v>
                  </c:pt>
                  <c:pt idx="2">
                    <c:v>0.0016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</c:v>
                  </c:pt>
                  <c:pt idx="2">
                    <c:v>0.0016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0.0016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0.0016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0.0016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0.0016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0.0016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0.0016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0.0016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0.0016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0.0016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0.0016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0.0016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0.0016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9196885"/>
        <c:axId val="38554238"/>
      </c:scatterChart>
      <c:valAx>
        <c:axId val="19196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54238"/>
        <c:crosses val="autoZero"/>
        <c:crossBetween val="midCat"/>
        <c:dispUnits/>
      </c:valAx>
      <c:valAx>
        <c:axId val="38554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9688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175"/>
          <c:y val="0.93375"/>
          <c:w val="0.675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0</xdr:row>
      <xdr:rowOff>0</xdr:rowOff>
    </xdr:from>
    <xdr:to>
      <xdr:col>16</xdr:col>
      <xdr:colOff>628650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1624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43</v>
      </c>
      <c r="E1" s="30"/>
      <c r="F1" s="30" t="s">
        <v>37</v>
      </c>
      <c r="G1" s="31" t="s">
        <v>38</v>
      </c>
      <c r="H1" s="11" t="s">
        <v>39</v>
      </c>
      <c r="I1" s="32">
        <v>52605.93</v>
      </c>
      <c r="J1" s="32">
        <v>0.64933</v>
      </c>
      <c r="K1" s="33" t="s">
        <v>40</v>
      </c>
      <c r="L1" s="34" t="s">
        <v>41</v>
      </c>
    </row>
    <row r="2" spans="1:3" ht="12.75">
      <c r="A2" t="s">
        <v>23</v>
      </c>
      <c r="B2" t="s">
        <v>38</v>
      </c>
      <c r="C2" s="3"/>
    </row>
    <row r="3" ht="13.5" thickBot="1"/>
    <row r="4" spans="1:4" ht="14.25" thickBot="1" thickTop="1">
      <c r="A4" s="29" t="s">
        <v>39</v>
      </c>
      <c r="C4" s="8">
        <v>52605.93</v>
      </c>
      <c r="D4" s="9">
        <v>0.64933</v>
      </c>
    </row>
    <row r="6" ht="12.75">
      <c r="A6" s="5" t="s">
        <v>0</v>
      </c>
    </row>
    <row r="7" spans="1:3" ht="12.75">
      <c r="A7" t="s">
        <v>1</v>
      </c>
      <c r="C7">
        <f>+C4</f>
        <v>52605.93</v>
      </c>
    </row>
    <row r="8" spans="1:3" ht="12.75">
      <c r="A8" t="s">
        <v>2</v>
      </c>
      <c r="C8">
        <f>+D4</f>
        <v>0.64933</v>
      </c>
    </row>
    <row r="9" spans="1:5" ht="12.75">
      <c r="A9" s="11" t="s">
        <v>30</v>
      </c>
      <c r="B9" s="12"/>
      <c r="C9" s="13">
        <v>-9.5</v>
      </c>
      <c r="D9" s="12" t="s">
        <v>31</v>
      </c>
      <c r="E9" s="12"/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7" ht="12.75">
      <c r="A11" s="12" t="s">
        <v>14</v>
      </c>
      <c r="B11" s="12"/>
      <c r="C11" s="24">
        <f ca="1">INTERCEPT(INDIRECT($G$11):G992,INDIRECT($F$11):F992)</f>
        <v>-4.19911398256978E-05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15</v>
      </c>
      <c r="B12" s="12"/>
      <c r="C12" s="24">
        <f ca="1">SLOPE(INDIRECT($G$11):G992,INDIRECT($F$11):F992)</f>
        <v>2.3888216017646698E-05</v>
      </c>
      <c r="D12" s="3"/>
      <c r="E12" s="12"/>
    </row>
    <row r="13" spans="1:5" ht="12.75">
      <c r="A13" s="12" t="s">
        <v>18</v>
      </c>
      <c r="B13" s="12"/>
      <c r="C13" s="3" t="s">
        <v>12</v>
      </c>
      <c r="D13" s="16" t="s">
        <v>45</v>
      </c>
      <c r="E13" s="13">
        <v>1</v>
      </c>
    </row>
    <row r="14" spans="1:5" ht="12.75">
      <c r="A14" s="12"/>
      <c r="B14" s="12"/>
      <c r="C14" s="12"/>
      <c r="D14" s="16" t="s">
        <v>32</v>
      </c>
      <c r="E14" s="17">
        <f ca="1">NOW()+15018.5+$C$9/24</f>
        <v>59895.84482407407</v>
      </c>
    </row>
    <row r="15" spans="1:5" ht="12.75">
      <c r="A15" s="14" t="s">
        <v>16</v>
      </c>
      <c r="B15" s="12"/>
      <c r="C15" s="15">
        <f>(C7+C11)+(C8+C12)*INT(MAX(F21:F3533))</f>
        <v>57441.668363553545</v>
      </c>
      <c r="D15" s="16" t="s">
        <v>46</v>
      </c>
      <c r="E15" s="17">
        <f>ROUND(2*(E14-$C$7)/$C$8,0)/2+E13</f>
        <v>11228</v>
      </c>
    </row>
    <row r="16" spans="1:5" ht="12.75">
      <c r="A16" s="18" t="s">
        <v>3</v>
      </c>
      <c r="B16" s="12"/>
      <c r="C16" s="19">
        <f>+C8+C12</f>
        <v>0.6493538882160176</v>
      </c>
      <c r="D16" s="16" t="s">
        <v>33</v>
      </c>
      <c r="E16" s="26">
        <f>ROUND(2*(E14-$C$15)/$C$16,0)/2+E13</f>
        <v>3780.5</v>
      </c>
    </row>
    <row r="17" spans="1:5" ht="13.5" thickBot="1">
      <c r="A17" s="16" t="s">
        <v>29</v>
      </c>
      <c r="B17" s="12"/>
      <c r="C17" s="12">
        <f>COUNT(C21:C2191)</f>
        <v>4</v>
      </c>
      <c r="D17" s="16" t="s">
        <v>34</v>
      </c>
      <c r="E17" s="20">
        <f>+$C$15+$C$16*E16-15018.5-$C$9/24</f>
        <v>44878.44657128753</v>
      </c>
    </row>
    <row r="18" spans="1:5" ht="14.25" thickBot="1" thickTop="1">
      <c r="A18" s="18" t="s">
        <v>4</v>
      </c>
      <c r="B18" s="12"/>
      <c r="C18" s="21">
        <f>+C15</f>
        <v>57441.668363553545</v>
      </c>
      <c r="D18" s="22">
        <f>+C16</f>
        <v>0.6493538882160176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28</v>
      </c>
      <c r="I20" s="7" t="s">
        <v>42</v>
      </c>
      <c r="J20" s="7" t="s">
        <v>17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13</v>
      </c>
    </row>
    <row r="21" spans="1:17" ht="12.75">
      <c r="A21" t="str">
        <f>$K$1</f>
        <v>IBVS 5458</v>
      </c>
      <c r="C21" s="10">
        <f>+$C$4</f>
        <v>52605.93</v>
      </c>
      <c r="D21" s="10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-4.19911398256978E-05</v>
      </c>
      <c r="Q21" s="2">
        <f>+C21-15018.5</f>
        <v>37587.43</v>
      </c>
    </row>
    <row r="22" spans="1:18" ht="12.75">
      <c r="A22" s="5" t="s">
        <v>44</v>
      </c>
      <c r="C22" s="10">
        <v>56349.78</v>
      </c>
      <c r="D22" s="10">
        <v>0.001</v>
      </c>
      <c r="E22">
        <f>+(C22-C$7)/C$8</f>
        <v>5765.712349652717</v>
      </c>
      <c r="F22">
        <f>ROUND(2*E22,0)/2</f>
        <v>5765.5</v>
      </c>
      <c r="G22">
        <f>+C22-(C$7+F22*C$8)</f>
        <v>0.13788499999645865</v>
      </c>
      <c r="I22">
        <f>+G22</f>
        <v>0.13788499999645865</v>
      </c>
      <c r="O22">
        <f>+C$11+C$12*$F22</f>
        <v>0.13768551830991635</v>
      </c>
      <c r="Q22" s="2">
        <f>+C22-15018.5</f>
        <v>41331.28</v>
      </c>
      <c r="R22">
        <f>IF(ABS(C22-C21)&lt;0.00001,1,"")</f>
      </c>
    </row>
    <row r="23" spans="1:17" ht="12.75">
      <c r="A23" s="35" t="s">
        <v>47</v>
      </c>
      <c r="B23" s="36" t="s">
        <v>49</v>
      </c>
      <c r="C23" s="35">
        <v>56713.4174</v>
      </c>
      <c r="D23" s="35">
        <v>0.0016</v>
      </c>
      <c r="E23">
        <f>+(C23-C$7)/C$8</f>
        <v>6325.731754269783</v>
      </c>
      <c r="F23">
        <f>ROUND(2*E23,0)/2</f>
        <v>6325.5</v>
      </c>
      <c r="G23">
        <f>+C23-(C$7+F23*C$8)</f>
        <v>0.150484999998298</v>
      </c>
      <c r="H23">
        <f>+G23</f>
        <v>0.150484999998298</v>
      </c>
      <c r="O23">
        <f>+C$11+C$12*$F23</f>
        <v>0.15106291927979848</v>
      </c>
      <c r="Q23" s="2">
        <f>+C23-15018.5</f>
        <v>41694.9174</v>
      </c>
    </row>
    <row r="24" spans="1:17" ht="12.75">
      <c r="A24" s="5" t="s">
        <v>48</v>
      </c>
      <c r="C24" s="10">
        <v>57441.6687</v>
      </c>
      <c r="D24" s="10">
        <v>0.0005</v>
      </c>
      <c r="E24">
        <f>+(C24-C$7)/C$8</f>
        <v>7447.274421326601</v>
      </c>
      <c r="F24" s="37">
        <f>ROUND(2*E24,0)/2-0.5</f>
        <v>7447</v>
      </c>
      <c r="G24">
        <f>+C24-(C$7+F24*C$8)</f>
        <v>0.17818999999872176</v>
      </c>
      <c r="I24">
        <f>+G24</f>
        <v>0.17818999999872176</v>
      </c>
      <c r="O24">
        <f>+C$11+C$12*$F24</f>
        <v>0.17785355354358925</v>
      </c>
      <c r="Q24" s="2">
        <f>+C24-15018.5</f>
        <v>42423.1687</v>
      </c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2022-11-12T07:16:32Z</dcterms:modified>
  <cp:category/>
  <cp:version/>
  <cp:contentType/>
  <cp:contentStatus/>
</cp:coreProperties>
</file>