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625" windowHeight="133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<sst xmlns="http://schemas.openxmlformats.org/spreadsheetml/2006/main" count="118" uniqueCount="92">
  <si>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</si>
  <si>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</si>
  <si>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</si>
  <si>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</si>
  <si>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</si>
  <si>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</si>
  <si>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</si>
  <si>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</si>
  <si>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</si>
  <si>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</si>
  <si>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</si>
  <si>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</si>
  <si>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</si>
  <si>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</si>
  <si>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</si>
  <si>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</si>
  <si>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</si>
  <si>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</si>
  <si>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</si>
  <si>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</si>
  <si>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</si>
  <si>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</si>
  <si>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</si>
  <si>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</si>
  <si>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</si>
  <si>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</si>
  <si>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</si>
  <si>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</si>
  <si>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Paschke A</t>
  </si>
  <si>
    <t>BBSAG Bull.101</t>
  </si>
  <si>
    <t>B</t>
  </si>
  <si>
    <t># of data points:</t>
  </si>
  <si>
    <t>SX CMi / gsc 0190-1474</t>
  </si>
  <si>
    <t>IBVS 5874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</si>
  <si>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</si>
  <si>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</si>
  <si>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</si>
  <si>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</si>
  <si>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</si>
  <si>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</si>
  <si>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</si>
  <si>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EA</t>
  </si>
  <si>
    <t>Add cycle</t>
  </si>
  <si>
    <t>Old Cycle</t>
  </si>
  <si>
    <t>OEJV 116</t>
  </si>
  <si>
    <t>IBVS 6010</t>
  </si>
  <si>
    <t>II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</si>
  <si>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</si>
  <si>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</si>
  <si>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</si>
  <si>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</si>
  <si>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</si>
  <si>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</si>
  <si>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</si>
  <si>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</si>
  <si>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</si>
  <si>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</si>
  <si>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</si>
  <si>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</si>
  <si>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2448672.41 </t>
  </si>
  <si>
    <t> 19.02.1992 21:50 </t>
  </si>
  <si>
    <t> 0.00 </t>
  </si>
  <si>
    <t>E </t>
  </si>
  <si>
    <t>?</t>
  </si>
  <si>
    <t> A.Paschke </t>
  </si>
  <si>
    <t> BBS 101 </t>
  </si>
  <si>
    <t>2454454.613 </t>
  </si>
  <si>
    <t> 20.12.2007 02:42 </t>
  </si>
  <si>
    <t> 0.022 </t>
  </si>
  <si>
    <t>C </t>
  </si>
  <si>
    <t>o</t>
  </si>
  <si>
    <t>OEJV 0116 </t>
  </si>
  <si>
    <t>2454516.3937 </t>
  </si>
  <si>
    <t> 19.02.2008 21:26 </t>
  </si>
  <si>
    <t> 0.0342 </t>
  </si>
  <si>
    <t>-I</t>
  </si>
  <si>
    <t> F.Agerer </t>
  </si>
  <si>
    <t>BAVM 201 </t>
  </si>
  <si>
    <t>2455621.3852 </t>
  </si>
  <si>
    <t> 28.02.2011 21:14 </t>
  </si>
  <si>
    <t>852</t>
  </si>
  <si>
    <t> 0.0624 </t>
  </si>
  <si>
    <t>BAVM 220 </t>
  </si>
  <si>
    <t>2456726.385 </t>
  </si>
  <si>
    <t> 09.03.2014 21:14 </t>
  </si>
  <si>
    <t>1174</t>
  </si>
  <si>
    <t> 0.099 </t>
  </si>
  <si>
    <t>OEJV 0162 </t>
  </si>
  <si>
    <t>2456726.3864 </t>
  </si>
  <si>
    <t> 09.03.2014 21:16 </t>
  </si>
  <si>
    <t> 0.1002 </t>
  </si>
  <si>
    <t>BAVM 238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</si>
</sst>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176" fontId="11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9" fillId="33" borderId="0" xfId="0" applyFont="1" applyFill="1" applyAlignment="1">
      <alignment/>
    </xf>
    <xf numFmtId="0" fontId="14" fillId="34" borderId="0" xfId="0" applyFont="1" applyFill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5" borderId="17" xfId="0" applyFont="1" applyFill="1" applyBorder="1" applyAlignment="1">
      <alignment horizontal="left" vertical="top" wrapText="1" inden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right" vertical="top" wrapText="1"/>
    </xf>
    <xf numFmtId="0" fontId="16" fillId="35" borderId="17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SX CMi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0.002</c:v>
                  </c:pt>
                  <c:pt idx="4">
                    <c:v>0.0059</c:v>
                  </c:pt>
                  <c:pt idx="5">
                    <c:v>0.0062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3126222"/>
        <c:axId val="28135999"/>
      </c:scatterChart>
      <c:val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crossBetween val="midCat"/>
        <c:dispUnits/>
      </c:valAx>
      <c:valAx>
        <c:axId val="2813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76200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8627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116.pdf" TargetMode="External" /><Relationship Id="rId2" Type="http://schemas.openxmlformats.org/officeDocument/2006/relationships/hyperlink" Target="http://www.bav-astro.de/sfs/BAVM_link.php?BAVMnr=201" TargetMode="External" /><Relationship Id="rId3" Type="http://schemas.openxmlformats.org/officeDocument/2006/relationships/hyperlink" Target="http://www.bav-astro.de/sfs/BAVM_link.php?BAVMnr=220" TargetMode="External" /><Relationship Id="rId4" Type="http://schemas.openxmlformats.org/officeDocument/2006/relationships/hyperlink" Target="http://var.astro.cz/oejv/issues/oejv0162.pdf" TargetMode="External" /><Relationship Id="rId5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7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5" width="9.42187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24</v>
      </c>
      <c r="B2" t="s">
        <v>41</v>
      </c>
    </row>
    <row r="4" spans="1:4" ht="14.25" thickBot="1" thickTop="1">
      <c r="A4" s="6" t="s">
        <v>0</v>
      </c>
      <c r="C4" s="3">
        <v>25247.62</v>
      </c>
      <c r="D4" s="4">
        <v>3.4304</v>
      </c>
    </row>
    <row r="5" spans="1:4" ht="13.5" thickTop="1">
      <c r="A5" s="11" t="s">
        <v>35</v>
      </c>
      <c r="B5" s="12"/>
      <c r="C5" s="13">
        <v>-9.5</v>
      </c>
      <c r="D5" s="12" t="s">
        <v>36</v>
      </c>
    </row>
    <row r="6" ht="12.75">
      <c r="A6" s="6" t="s">
        <v>1</v>
      </c>
    </row>
    <row r="7" spans="1:3" ht="12.75">
      <c r="A7" t="s">
        <v>2</v>
      </c>
      <c r="C7">
        <f>+C4</f>
        <v>25247.62</v>
      </c>
    </row>
    <row r="8" spans="1:3" ht="12.75">
      <c r="A8" t="s">
        <v>3</v>
      </c>
      <c r="C8">
        <f>+D4</f>
        <v>3.4304</v>
      </c>
    </row>
    <row r="9" spans="1:5" ht="12.75">
      <c r="A9" s="27" t="s">
        <v>40</v>
      </c>
      <c r="C9" s="28">
        <v>21</v>
      </c>
      <c r="D9" s="16" t="str">
        <f>"F"&amp;C9</f>
        <v>F21</v>
      </c>
      <c r="E9" s="17" t="str">
        <f>"G"&amp;C9</f>
        <v>G21</v>
      </c>
    </row>
    <row r="10" spans="1:5" ht="13.5" thickBot="1">
      <c r="A10" s="12"/>
      <c r="B10" s="12"/>
      <c r="C10" s="5" t="s">
        <v>20</v>
      </c>
      <c r="D10" s="5" t="s">
        <v>21</v>
      </c>
      <c r="E10" s="12"/>
    </row>
    <row r="11" spans="1:5" ht="12.75">
      <c r="A11" s="12" t="s">
        <v>16</v>
      </c>
      <c r="B11" s="12"/>
      <c r="C11" s="14">
        <f ca="1">INTERCEPT(INDIRECT($E$9):G991,INDIRECT($D$9):F991)</f>
        <v>0.0309489620611636</v>
      </c>
      <c r="D11" s="15"/>
      <c r="E11" s="12"/>
    </row>
    <row r="12" spans="1:5" ht="12.75">
      <c r="A12" s="12" t="s">
        <v>17</v>
      </c>
      <c r="B12" s="12"/>
      <c r="C12" s="14">
        <f ca="1">SLOPE(INDIRECT($E$9):G991,INDIRECT($D$9):F991)</f>
        <v>0.001275879833555102</v>
      </c>
      <c r="D12" s="15"/>
      <c r="E12" s="12"/>
    </row>
    <row r="13" spans="1:3" ht="12.75">
      <c r="A13" s="12" t="s">
        <v>19</v>
      </c>
      <c r="B13" s="12"/>
      <c r="C13" s="15" t="s">
        <v>14</v>
      </c>
    </row>
    <row r="14" spans="1:3" ht="12.75">
      <c r="A14" s="12"/>
      <c r="B14" s="12"/>
      <c r="C14" s="12"/>
    </row>
    <row r="15" spans="1:6" ht="12.75">
      <c r="A15" s="18" t="s">
        <v>18</v>
      </c>
      <c r="B15" s="12"/>
      <c r="C15" s="19">
        <f>(C7+C11)+(C8+C12)*INT(MAX(F21:F3532))</f>
        <v>56726.41379467526</v>
      </c>
      <c r="E15" s="20" t="s">
        <v>42</v>
      </c>
      <c r="F15" s="13">
        <v>1</v>
      </c>
    </row>
    <row r="16" spans="1:6" ht="12.75">
      <c r="A16" s="22" t="s">
        <v>4</v>
      </c>
      <c r="B16" s="12"/>
      <c r="C16" s="23">
        <f>+C8+C12</f>
        <v>3.431675879833555</v>
      </c>
      <c r="E16" s="20" t="s">
        <v>37</v>
      </c>
      <c r="F16" s="21">
        <f ca="1">NOW()+15018.5+$C$5/24</f>
        <v>59895.851617824075</v>
      </c>
    </row>
    <row r="17" spans="1:6" ht="13.5" thickBot="1">
      <c r="A17" s="20" t="s">
        <v>31</v>
      </c>
      <c r="B17" s="12"/>
      <c r="C17" s="12">
        <f>COUNT(C21:C2190)</f>
        <v>6</v>
      </c>
      <c r="E17" s="20" t="s">
        <v>43</v>
      </c>
      <c r="F17" s="21">
        <f>ROUND(2*(F16-$C$7)/$C$8,0)/2+F15</f>
        <v>10101.5</v>
      </c>
    </row>
    <row r="18" spans="1:6" ht="14.25" thickBot="1" thickTop="1">
      <c r="A18" s="22" t="s">
        <v>5</v>
      </c>
      <c r="B18" s="12"/>
      <c r="C18" s="25">
        <f>+C15</f>
        <v>56726.41379467526</v>
      </c>
      <c r="D18" s="26">
        <f>+C16</f>
        <v>3.431675879833555</v>
      </c>
      <c r="E18" s="20" t="s">
        <v>38</v>
      </c>
      <c r="F18" s="17">
        <f>ROUND(2*(F16-$C$15)/$C$16,0)/2+F15</f>
        <v>924.5</v>
      </c>
    </row>
    <row r="19" spans="5:6" ht="13.5" thickTop="1">
      <c r="E19" s="20" t="s">
        <v>39</v>
      </c>
      <c r="F19" s="24">
        <f>+$C$15+$C$16*F18-15018.5-$C$5/24</f>
        <v>44880.89397891472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55</v>
      </c>
      <c r="I20" s="8" t="s">
        <v>58</v>
      </c>
      <c r="J20" s="8" t="s">
        <v>52</v>
      </c>
      <c r="K20" s="8" t="s">
        <v>50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9">
        <v>25247.62</v>
      </c>
      <c r="D21" s="9" t="s">
        <v>14</v>
      </c>
      <c r="E21">
        <f aca="true" t="shared" si="0" ref="E21:E26">+(C21-C$7)/C$8</f>
        <v>0</v>
      </c>
      <c r="F21">
        <f>ROUND(2*E21,0)/2</f>
        <v>0</v>
      </c>
      <c r="G21">
        <f aca="true" t="shared" si="1" ref="G21:G26">+C21-(C$7+F21*C$8)</f>
        <v>0</v>
      </c>
      <c r="H21">
        <f>+G21</f>
        <v>0</v>
      </c>
      <c r="O21">
        <f aca="true" t="shared" si="2" ref="O21:O26">+C$11+C$12*F21</f>
        <v>0.0309489620611636</v>
      </c>
      <c r="Q21" s="2">
        <f aca="true" t="shared" si="3" ref="Q21:Q26">+C21-15018.5</f>
        <v>10229.119999999999</v>
      </c>
    </row>
    <row r="22" spans="1:31" ht="12.75">
      <c r="A22" t="s">
        <v>29</v>
      </c>
      <c r="C22" s="10">
        <v>48672.41</v>
      </c>
      <c r="D22" s="9">
        <v>0.01</v>
      </c>
      <c r="E22">
        <f t="shared" si="0"/>
        <v>6828.588502798509</v>
      </c>
      <c r="F22" s="38">
        <f>ROUND(2*E22,0)/2-2.5</f>
        <v>6826</v>
      </c>
      <c r="G22">
        <f t="shared" si="1"/>
        <v>8.87960000000021</v>
      </c>
      <c r="I22">
        <f>+G22</f>
        <v>8.87960000000021</v>
      </c>
      <c r="O22">
        <f t="shared" si="2"/>
        <v>8.74010470590829</v>
      </c>
      <c r="Q22" s="2">
        <f t="shared" si="3"/>
        <v>33653.91</v>
      </c>
      <c r="AA22">
        <v>40</v>
      </c>
      <c r="AC22" t="s">
        <v>28</v>
      </c>
      <c r="AE22" t="s">
        <v>30</v>
      </c>
    </row>
    <row r="23" spans="1:17" ht="12.75">
      <c r="A23" s="31" t="s">
        <v>44</v>
      </c>
      <c r="B23" s="32" t="s">
        <v>34</v>
      </c>
      <c r="C23" s="33">
        <v>54454.613</v>
      </c>
      <c r="D23" s="33">
        <v>0.01</v>
      </c>
      <c r="E23">
        <f t="shared" si="0"/>
        <v>8514.165403451492</v>
      </c>
      <c r="F23" s="39">
        <f>ROUND(2*E23,0)/2-3</f>
        <v>8511</v>
      </c>
      <c r="G23">
        <f t="shared" si="1"/>
        <v>10.858599999992293</v>
      </c>
      <c r="I23">
        <f>+G23</f>
        <v>10.858599999992293</v>
      </c>
      <c r="O23">
        <f t="shared" si="2"/>
        <v>10.889962225448636</v>
      </c>
      <c r="Q23" s="2">
        <f t="shared" si="3"/>
        <v>39436.113</v>
      </c>
    </row>
    <row r="24" spans="1:17" ht="12.75">
      <c r="A24" s="29" t="s">
        <v>33</v>
      </c>
      <c r="B24" s="30" t="s">
        <v>34</v>
      </c>
      <c r="C24" s="29">
        <v>54516.3937</v>
      </c>
      <c r="D24" s="29">
        <v>0.002</v>
      </c>
      <c r="E24">
        <f t="shared" si="0"/>
        <v>8532.175169076492</v>
      </c>
      <c r="F24" s="39">
        <f>ROUND(2*E24,0)/2-3</f>
        <v>8529</v>
      </c>
      <c r="G24">
        <f t="shared" si="1"/>
        <v>10.8920999999973</v>
      </c>
      <c r="K24">
        <f>+G24</f>
        <v>10.8920999999973</v>
      </c>
      <c r="O24">
        <f t="shared" si="2"/>
        <v>10.912928062452629</v>
      </c>
      <c r="Q24" s="2">
        <f t="shared" si="3"/>
        <v>39497.8937</v>
      </c>
    </row>
    <row r="25" spans="1:17" ht="12.75">
      <c r="A25" s="34" t="s">
        <v>45</v>
      </c>
      <c r="B25" s="35" t="s">
        <v>46</v>
      </c>
      <c r="C25" s="34">
        <v>55621.3852</v>
      </c>
      <c r="D25" s="34">
        <v>0.0059</v>
      </c>
      <c r="E25">
        <f t="shared" si="0"/>
        <v>8854.292560634327</v>
      </c>
      <c r="F25" s="40">
        <f>ROUND(2*E25,0)/2-3.5</f>
        <v>8851</v>
      </c>
      <c r="G25">
        <f t="shared" si="1"/>
        <v>11.29479999999603</v>
      </c>
      <c r="K25">
        <f>+G25</f>
        <v>11.29479999999603</v>
      </c>
      <c r="O25">
        <f t="shared" si="2"/>
        <v>11.323761368857372</v>
      </c>
      <c r="Q25" s="2">
        <f t="shared" si="3"/>
        <v>40602.8852</v>
      </c>
    </row>
    <row r="26" spans="1:17" ht="12.75">
      <c r="A26" s="36" t="s">
        <v>47</v>
      </c>
      <c r="B26" s="37" t="s">
        <v>34</v>
      </c>
      <c r="C26" s="36">
        <v>56726.3864</v>
      </c>
      <c r="D26" s="36">
        <v>0.0062</v>
      </c>
      <c r="E26">
        <f t="shared" si="0"/>
        <v>9176.412779850747</v>
      </c>
      <c r="F26" s="40">
        <f>ROUND(2*E26,0)/2-3.5</f>
        <v>9173</v>
      </c>
      <c r="G26">
        <f t="shared" si="1"/>
        <v>11.707200000004377</v>
      </c>
      <c r="K26">
        <f>+G26</f>
        <v>11.707200000004377</v>
      </c>
      <c r="O26">
        <f t="shared" si="2"/>
        <v>11.734594675262114</v>
      </c>
      <c r="Q26" s="2">
        <f t="shared" si="3"/>
        <v>41707.8864</v>
      </c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3"/>
  <sheetViews>
    <sheetView zoomScalePageLayoutView="0" workbookViewId="0" topLeftCell="A1">
      <selection activeCell="A16" sqref="A16:D16"/>
    </sheetView>
  </sheetViews>
  <sheetFormatPr defaultColWidth="9.140625" defaultRowHeight="12.75"/>
  <cols>
    <col min="1" max="1" width="19.7109375" style="9" customWidth="1"/>
    <col min="2" max="2" width="4.421875" style="12" customWidth="1"/>
    <col min="3" max="3" width="12.7109375" style="9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9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1" t="s">
        <v>48</v>
      </c>
      <c r="I1" s="42" t="s">
        <v>49</v>
      </c>
      <c r="J1" s="43" t="s">
        <v>50</v>
      </c>
    </row>
    <row r="2" spans="9:10" ht="12.75">
      <c r="I2" s="44" t="s">
        <v>51</v>
      </c>
      <c r="J2" s="45" t="s">
        <v>52</v>
      </c>
    </row>
    <row r="3" spans="1:10" ht="12.75">
      <c r="A3" s="46" t="s">
        <v>53</v>
      </c>
      <c r="I3" s="44" t="s">
        <v>54</v>
      </c>
      <c r="J3" s="45" t="s">
        <v>55</v>
      </c>
    </row>
    <row r="4" spans="9:10" ht="12.75">
      <c r="I4" s="44" t="s">
        <v>56</v>
      </c>
      <c r="J4" s="45" t="s">
        <v>55</v>
      </c>
    </row>
    <row r="5" spans="9:10" ht="13.5" thickBot="1">
      <c r="I5" s="47" t="s">
        <v>57</v>
      </c>
      <c r="J5" s="48" t="s">
        <v>58</v>
      </c>
    </row>
    <row r="10" ht="13.5" thickBot="1"/>
    <row r="11" spans="1:16" ht="12.75" customHeight="1" thickBot="1">
      <c r="A11" s="9" t="str">
        <f aca="true" t="shared" si="0" ref="A11:A16">P11</f>
        <v> BBS 101 </v>
      </c>
      <c r="B11" s="15" t="str">
        <f aca="true" t="shared" si="1" ref="B11:B16">IF(H11=INT(H11),"I","II")</f>
        <v>I</v>
      </c>
      <c r="C11" s="9">
        <f aca="true" t="shared" si="2" ref="C11:C16">1*G11</f>
        <v>48672.41</v>
      </c>
      <c r="D11" s="12" t="str">
        <f aca="true" t="shared" si="3" ref="D11:D16">VLOOKUP(F11,I$1:J$5,2,FALSE)</f>
        <v>vis</v>
      </c>
      <c r="E11" s="49">
        <f>VLOOKUP(C11,A!C$21:E$972,3,FALSE)</f>
        <v>6828.588502798509</v>
      </c>
      <c r="F11" s="15" t="s">
        <v>57</v>
      </c>
      <c r="G11" s="12" t="str">
        <f aca="true" t="shared" si="4" ref="G11:G16">MID(I11,3,LEN(I11)-3)</f>
        <v>48672.41</v>
      </c>
      <c r="H11" s="9">
        <f aca="true" t="shared" si="5" ref="H11:H16">1*K11</f>
        <v>-1173</v>
      </c>
      <c r="I11" s="50" t="s">
        <v>59</v>
      </c>
      <c r="J11" s="51" t="s">
        <v>60</v>
      </c>
      <c r="K11" s="50">
        <v>-1173</v>
      </c>
      <c r="L11" s="50" t="s">
        <v>61</v>
      </c>
      <c r="M11" s="51" t="s">
        <v>62</v>
      </c>
      <c r="N11" s="51" t="s">
        <v>63</v>
      </c>
      <c r="O11" s="52" t="s">
        <v>64</v>
      </c>
      <c r="P11" s="52" t="s">
        <v>65</v>
      </c>
    </row>
    <row r="12" spans="1:16" ht="12.75" customHeight="1" thickBot="1">
      <c r="A12" s="9" t="str">
        <f t="shared" si="0"/>
        <v>OEJV 0116 </v>
      </c>
      <c r="B12" s="15" t="str">
        <f t="shared" si="1"/>
        <v>I</v>
      </c>
      <c r="C12" s="9">
        <f t="shared" si="2"/>
        <v>54454.613</v>
      </c>
      <c r="D12" s="12" t="str">
        <f t="shared" si="3"/>
        <v>vis</v>
      </c>
      <c r="E12" s="49">
        <f>VLOOKUP(C12,A!C$21:E$972,3,FALSE)</f>
        <v>8514.165403451492</v>
      </c>
      <c r="F12" s="15" t="s">
        <v>57</v>
      </c>
      <c r="G12" s="12" t="str">
        <f t="shared" si="4"/>
        <v>54454.613</v>
      </c>
      <c r="H12" s="9">
        <f t="shared" si="5"/>
        <v>512</v>
      </c>
      <c r="I12" s="50" t="s">
        <v>66</v>
      </c>
      <c r="J12" s="51" t="s">
        <v>67</v>
      </c>
      <c r="K12" s="50">
        <v>512</v>
      </c>
      <c r="L12" s="50" t="s">
        <v>68</v>
      </c>
      <c r="M12" s="51" t="s">
        <v>69</v>
      </c>
      <c r="N12" s="51" t="s">
        <v>70</v>
      </c>
      <c r="O12" s="52" t="s">
        <v>64</v>
      </c>
      <c r="P12" s="53" t="s">
        <v>71</v>
      </c>
    </row>
    <row r="13" spans="1:16" ht="12.75" customHeight="1" thickBot="1">
      <c r="A13" s="9" t="str">
        <f t="shared" si="0"/>
        <v>BAVM 201 </v>
      </c>
      <c r="B13" s="15" t="str">
        <f t="shared" si="1"/>
        <v>I</v>
      </c>
      <c r="C13" s="9">
        <f t="shared" si="2"/>
        <v>54516.3937</v>
      </c>
      <c r="D13" s="12" t="str">
        <f t="shared" si="3"/>
        <v>vis</v>
      </c>
      <c r="E13" s="49">
        <f>VLOOKUP(C13,A!C$21:E$972,3,FALSE)</f>
        <v>8532.175169076492</v>
      </c>
      <c r="F13" s="15" t="s">
        <v>57</v>
      </c>
      <c r="G13" s="12" t="str">
        <f t="shared" si="4"/>
        <v>54516.3937</v>
      </c>
      <c r="H13" s="9">
        <f t="shared" si="5"/>
        <v>530</v>
      </c>
      <c r="I13" s="50" t="s">
        <v>72</v>
      </c>
      <c r="J13" s="51" t="s">
        <v>73</v>
      </c>
      <c r="K13" s="50">
        <v>530</v>
      </c>
      <c r="L13" s="50" t="s">
        <v>74</v>
      </c>
      <c r="M13" s="51" t="s">
        <v>69</v>
      </c>
      <c r="N13" s="51" t="s">
        <v>75</v>
      </c>
      <c r="O13" s="52" t="s">
        <v>76</v>
      </c>
      <c r="P13" s="53" t="s">
        <v>77</v>
      </c>
    </row>
    <row r="14" spans="1:16" ht="12.75" customHeight="1" thickBot="1">
      <c r="A14" s="9" t="str">
        <f t="shared" si="0"/>
        <v>BAVM 220 </v>
      </c>
      <c r="B14" s="15" t="str">
        <f t="shared" si="1"/>
        <v>I</v>
      </c>
      <c r="C14" s="9">
        <f t="shared" si="2"/>
        <v>55621.3852</v>
      </c>
      <c r="D14" s="12" t="str">
        <f t="shared" si="3"/>
        <v>vis</v>
      </c>
      <c r="E14" s="49">
        <f>VLOOKUP(C14,A!C$21:E$972,3,FALSE)</f>
        <v>8854.292560634327</v>
      </c>
      <c r="F14" s="15" t="s">
        <v>57</v>
      </c>
      <c r="G14" s="12" t="str">
        <f t="shared" si="4"/>
        <v>55621.3852</v>
      </c>
      <c r="H14" s="9">
        <f t="shared" si="5"/>
        <v>852</v>
      </c>
      <c r="I14" s="50" t="s">
        <v>78</v>
      </c>
      <c r="J14" s="51" t="s">
        <v>79</v>
      </c>
      <c r="K14" s="50" t="s">
        <v>80</v>
      </c>
      <c r="L14" s="50" t="s">
        <v>81</v>
      </c>
      <c r="M14" s="51" t="s">
        <v>69</v>
      </c>
      <c r="N14" s="51" t="s">
        <v>75</v>
      </c>
      <c r="O14" s="52" t="s">
        <v>76</v>
      </c>
      <c r="P14" s="53" t="s">
        <v>82</v>
      </c>
    </row>
    <row r="15" spans="1:16" ht="12.75" customHeight="1" thickBot="1">
      <c r="A15" s="9" t="str">
        <f t="shared" si="0"/>
        <v>BAVM 238 </v>
      </c>
      <c r="B15" s="15" t="str">
        <f t="shared" si="1"/>
        <v>I</v>
      </c>
      <c r="C15" s="9">
        <f t="shared" si="2"/>
        <v>56726.3864</v>
      </c>
      <c r="D15" s="12" t="str">
        <f t="shared" si="3"/>
        <v>vis</v>
      </c>
      <c r="E15" s="49">
        <f>VLOOKUP(C15,A!C$21:E$972,3,FALSE)</f>
        <v>9176.412779850747</v>
      </c>
      <c r="F15" s="15" t="s">
        <v>57</v>
      </c>
      <c r="G15" s="12" t="str">
        <f t="shared" si="4"/>
        <v>56726.3864</v>
      </c>
      <c r="H15" s="9">
        <f t="shared" si="5"/>
        <v>1174</v>
      </c>
      <c r="I15" s="50" t="s">
        <v>88</v>
      </c>
      <c r="J15" s="51" t="s">
        <v>89</v>
      </c>
      <c r="K15" s="50" t="s">
        <v>85</v>
      </c>
      <c r="L15" s="50" t="s">
        <v>90</v>
      </c>
      <c r="M15" s="51" t="s">
        <v>69</v>
      </c>
      <c r="N15" s="51" t="s">
        <v>75</v>
      </c>
      <c r="O15" s="52" t="s">
        <v>76</v>
      </c>
      <c r="P15" s="53" t="s">
        <v>91</v>
      </c>
    </row>
    <row r="16" spans="1:16" ht="12.75" customHeight="1" thickBot="1">
      <c r="A16" s="9" t="str">
        <f t="shared" si="0"/>
        <v>OEJV 0162 </v>
      </c>
      <c r="B16" s="15" t="str">
        <f t="shared" si="1"/>
        <v>I</v>
      </c>
      <c r="C16" s="9">
        <f t="shared" si="2"/>
        <v>56726.385</v>
      </c>
      <c r="D16" s="12" t="str">
        <f t="shared" si="3"/>
        <v>vis</v>
      </c>
      <c r="E16" s="49" t="e">
        <f>VLOOKUP(C16,A!C$21:E$972,3,FALSE)</f>
        <v>#N/A</v>
      </c>
      <c r="F16" s="15" t="s">
        <v>57</v>
      </c>
      <c r="G16" s="12" t="str">
        <f t="shared" si="4"/>
        <v>56726.385</v>
      </c>
      <c r="H16" s="9">
        <f t="shared" si="5"/>
        <v>1174</v>
      </c>
      <c r="I16" s="50" t="s">
        <v>83</v>
      </c>
      <c r="J16" s="51" t="s">
        <v>84</v>
      </c>
      <c r="K16" s="50" t="s">
        <v>85</v>
      </c>
      <c r="L16" s="50" t="s">
        <v>86</v>
      </c>
      <c r="M16" s="51" t="s">
        <v>69</v>
      </c>
      <c r="N16" s="51" t="s">
        <v>70</v>
      </c>
      <c r="O16" s="52" t="s">
        <v>64</v>
      </c>
      <c r="P16" s="53" t="s">
        <v>87</v>
      </c>
    </row>
    <row r="17" spans="2:6" ht="12.75">
      <c r="B17" s="15"/>
      <c r="F17" s="15"/>
    </row>
    <row r="18" spans="2:6" ht="12.75">
      <c r="B18" s="15"/>
      <c r="F18" s="15"/>
    </row>
    <row r="19" spans="2:6" ht="12.75">
      <c r="B19" s="15"/>
      <c r="F19" s="15"/>
    </row>
    <row r="20" spans="2:6" ht="12.75">
      <c r="B20" s="15"/>
      <c r="F20" s="15"/>
    </row>
    <row r="21" spans="2:6" ht="12.75">
      <c r="B21" s="15"/>
      <c r="F21" s="15"/>
    </row>
    <row r="22" spans="2:6" ht="12.75">
      <c r="B22" s="15"/>
      <c r="F22" s="15"/>
    </row>
    <row r="23" spans="2:6" ht="12.75">
      <c r="B23" s="15"/>
      <c r="F23" s="15"/>
    </row>
    <row r="24" spans="2:6" ht="12.75">
      <c r="B24" s="15"/>
      <c r="F24" s="15"/>
    </row>
    <row r="25" spans="2:6" ht="12.75">
      <c r="B25" s="15"/>
      <c r="F25" s="15"/>
    </row>
    <row r="26" spans="2:6" ht="12.75">
      <c r="B26" s="15"/>
      <c r="F26" s="15"/>
    </row>
    <row r="27" spans="2:6" ht="12.75">
      <c r="B27" s="15"/>
      <c r="F27" s="15"/>
    </row>
    <row r="28" spans="2:6" ht="12.75">
      <c r="B28" s="15"/>
      <c r="F28" s="15"/>
    </row>
    <row r="29" spans="2:6" ht="12.75">
      <c r="B29" s="15"/>
      <c r="F29" s="15"/>
    </row>
    <row r="30" spans="2:6" ht="12.75">
      <c r="B30" s="15"/>
      <c r="F30" s="15"/>
    </row>
    <row r="31" spans="2:6" ht="12.75">
      <c r="B31" s="15"/>
      <c r="F31" s="15"/>
    </row>
    <row r="32" spans="2:6" ht="12.75">
      <c r="B32" s="15"/>
      <c r="F32" s="15"/>
    </row>
    <row r="33" spans="2:6" ht="12.75">
      <c r="B33" s="15"/>
      <c r="F33" s="15"/>
    </row>
    <row r="34" spans="2:6" ht="12.75">
      <c r="B34" s="15"/>
      <c r="F34" s="15"/>
    </row>
    <row r="35" spans="2:6" ht="12.75">
      <c r="B35" s="15"/>
      <c r="F35" s="15"/>
    </row>
    <row r="36" spans="2:6" ht="12.75">
      <c r="B36" s="15"/>
      <c r="F36" s="15"/>
    </row>
    <row r="37" spans="2:6" ht="12.75">
      <c r="B37" s="15"/>
      <c r="F37" s="15"/>
    </row>
    <row r="38" spans="2:6" ht="12.75">
      <c r="B38" s="15"/>
      <c r="F38" s="15"/>
    </row>
    <row r="39" spans="2:6" ht="12.75">
      <c r="B39" s="15"/>
      <c r="F39" s="15"/>
    </row>
    <row r="40" spans="2:6" ht="12.75">
      <c r="B40" s="15"/>
      <c r="F40" s="15"/>
    </row>
    <row r="41" spans="2:6" ht="12.75">
      <c r="B41" s="15"/>
      <c r="F41" s="15"/>
    </row>
    <row r="42" spans="2:6" ht="12.75">
      <c r="B42" s="15"/>
      <c r="F42" s="15"/>
    </row>
    <row r="43" spans="2:6" ht="12.75">
      <c r="B43" s="15"/>
      <c r="F43" s="15"/>
    </row>
    <row r="44" spans="2:6" ht="12.75">
      <c r="B44" s="15"/>
      <c r="F44" s="15"/>
    </row>
    <row r="45" spans="2:6" ht="12.75">
      <c r="B45" s="15"/>
      <c r="F45" s="15"/>
    </row>
    <row r="46" spans="2:6" ht="12.75">
      <c r="B46" s="15"/>
      <c r="F46" s="15"/>
    </row>
    <row r="47" spans="2:6" ht="12.75">
      <c r="B47" s="15"/>
      <c r="F47" s="15"/>
    </row>
    <row r="48" spans="2:6" ht="12.75">
      <c r="B48" s="15"/>
      <c r="F48" s="15"/>
    </row>
    <row r="49" spans="2:6" ht="12.75">
      <c r="B49" s="15"/>
      <c r="F49" s="15"/>
    </row>
    <row r="50" spans="2:6" ht="12.75">
      <c r="B50" s="15"/>
      <c r="F50" s="15"/>
    </row>
    <row r="51" spans="2:6" ht="12.75">
      <c r="B51" s="15"/>
      <c r="F51" s="15"/>
    </row>
    <row r="52" spans="2:6" ht="12.75">
      <c r="B52" s="15"/>
      <c r="F52" s="15"/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</sheetData>
  <sheetProtection/>
  <hyperlinks>
    <hyperlink ref="P12" r:id="rId1" display="http://var.astro.cz/oejv/issues/oejv0116.pdf"/>
    <hyperlink ref="P13" r:id="rId2" display="http://www.bav-astro.de/sfs/BAVM_link.php?BAVMnr=201"/>
    <hyperlink ref="P14" r:id="rId3" display="http://www.bav-astro.de/sfs/BAVM_link.php?BAVMnr=220"/>
    <hyperlink ref="P16" r:id="rId4" display="http://var.astro.cz/oejv/issues/oejv0162.pdf"/>
    <hyperlink ref="P15" r:id="rId5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