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5" windowWidth="8550" windowHeight="13290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<sst xmlns="http://schemas.openxmlformats.org/spreadsheetml/2006/main" count="250" uniqueCount="131">
  <si>
    <t>OEJV 0181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</si>
  <si>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</si>
  <si>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</si>
  <si>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</si>
  <si>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</si>
  <si>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</si>
  <si>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</si>
  <si>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</si>
  <si>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</si>
  <si>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</si>
  <si>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</si>
  <si>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</si>
  <si>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</si>
  <si>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</si>
  <si>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</si>
  <si>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</si>
  <si>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</si>
  <si>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</si>
  <si>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</si>
  <si>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</si>
  <si>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</si>
  <si>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</si>
  <si>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</si>
  <si>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</si>
  <si>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</si>
  <si>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</si>
  <si>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</si>
  <si>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</si>
  <si>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</si>
  <si>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</si>
  <si>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</si>
  <si>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</si>
  <si>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BBSAG</t>
  </si>
  <si>
    <t>Paschke A</t>
  </si>
  <si>
    <t>BBSAG Bull.97</t>
  </si>
  <si>
    <t>B</t>
  </si>
  <si>
    <t>v</t>
  </si>
  <si>
    <t>BBSAG Bull.101</t>
  </si>
  <si>
    <t>BBSAG Bull.103</t>
  </si>
  <si>
    <t>BBSAG Bull.106</t>
  </si>
  <si>
    <t>phe</t>
  </si>
  <si>
    <t>BBSAG Bull.110</t>
  </si>
  <si>
    <t># of data points:</t>
  </si>
  <si>
    <t>TT CMi / gsc 0186-0250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</si>
  <si>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</si>
  <si>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</si>
  <si>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</si>
  <si>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</si>
  <si>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</si>
  <si>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</si>
  <si>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</si>
  <si>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5894</t>
  </si>
  <si>
    <t>I</t>
  </si>
  <si>
    <t>Add cycle</t>
  </si>
  <si>
    <t>Old Cycle</t>
  </si>
  <si>
    <t>EA</t>
  </si>
  <si>
    <t>OEJV 0160</t>
  </si>
  <si>
    <t>OEJV 0155</t>
  </si>
  <si>
    <t>0,0030</t>
  </si>
  <si>
    <t>IBVS 6149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</si>
  <si>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</si>
  <si>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</si>
  <si>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</si>
  <si>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</si>
  <si>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</si>
  <si>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</si>
  <si>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</si>
  <si>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</si>
  <si>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</si>
  <si>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</si>
  <si>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</si>
  <si>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</si>
  <si>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2448356.36 </t>
  </si>
  <si>
    <t> 09.04.1991 20:38 </t>
  </si>
  <si>
    <t> 0.10 </t>
  </si>
  <si>
    <t>E </t>
  </si>
  <si>
    <t>?</t>
  </si>
  <si>
    <t> A.Paschke </t>
  </si>
  <si>
    <t> BBS 97 </t>
  </si>
  <si>
    <t>2448662.435 </t>
  </si>
  <si>
    <t> 09.02.1992 22:26 </t>
  </si>
  <si>
    <t> 0.092 </t>
  </si>
  <si>
    <t> BBS 101 </t>
  </si>
  <si>
    <t>2448974.428 </t>
  </si>
  <si>
    <t> 17.12.1992 22:16 </t>
  </si>
  <si>
    <t> 0.085 </t>
  </si>
  <si>
    <t> BBS 103 </t>
  </si>
  <si>
    <t>2449396.337 </t>
  </si>
  <si>
    <t> 12.02.1994 20:05 </t>
  </si>
  <si>
    <t> 0.076 </t>
  </si>
  <si>
    <t> BBS 106 </t>
  </si>
  <si>
    <t>2449685.492 </t>
  </si>
  <si>
    <t> 28.11.1994 23:48 </t>
  </si>
  <si>
    <t> 0.060 </t>
  </si>
  <si>
    <t> BBS 110 </t>
  </si>
  <si>
    <t>2453768.5081 </t>
  </si>
  <si>
    <t> 02.02.2006 00:11 </t>
  </si>
  <si>
    <t> 0.0194 </t>
  </si>
  <si>
    <t>C </t>
  </si>
  <si>
    <t>-I</t>
  </si>
  <si>
    <t> Agerer </t>
  </si>
  <si>
    <t>BAVM 178 </t>
  </si>
  <si>
    <t>2454889.6617 </t>
  </si>
  <si>
    <t> 27.02.2009 03:52 </t>
  </si>
  <si>
    <t>610</t>
  </si>
  <si>
    <t> 0.0024 </t>
  </si>
  <si>
    <t> R.Diethelm </t>
  </si>
  <si>
    <t>IBVS 5894 </t>
  </si>
  <si>
    <t>2456013.35458 </t>
  </si>
  <si>
    <t> 26.03.2012 20:30 </t>
  </si>
  <si>
    <t>1939</t>
  </si>
  <si>
    <t> -0.01199 </t>
  </si>
  <si>
    <t>R</t>
  </si>
  <si>
    <t> M.Lehky </t>
  </si>
  <si>
    <t>OEJV 0160 </t>
  </si>
  <si>
    <t>2456013.35526 </t>
  </si>
  <si>
    <t> 26.03.2012 20:31 </t>
  </si>
  <si>
    <t> -0.01131 </t>
  </si>
  <si>
    <t>2456252.6390 </t>
  </si>
  <si>
    <t> 21.11.2012 03:20 </t>
  </si>
  <si>
    <t>2222</t>
  </si>
  <si>
    <t> -0.0121 </t>
  </si>
  <si>
    <t>ns</t>
  </si>
  <si>
    <t>OEJV 0155 </t>
  </si>
  <si>
    <t>2456713.4472 </t>
  </si>
  <si>
    <t> 24.02.2014 22:43 </t>
  </si>
  <si>
    <t>2767</t>
  </si>
  <si>
    <t> -0.0169 </t>
  </si>
  <si>
    <t> F.Agerer </t>
  </si>
  <si>
    <t>BAVM 238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</si>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</sst>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trike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CourierNewPSM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1" fillId="0" borderId="9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2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0" fontId="32" fillId="0" borderId="0" xfId="62" applyFont="1" applyAlignment="1">
      <alignment horizontal="left"/>
      <protection/>
    </xf>
    <xf numFmtId="0" fontId="33" fillId="0" borderId="0" xfId="61" applyFont="1">
      <alignment/>
      <protection/>
    </xf>
    <xf numFmtId="0" fontId="33" fillId="0" borderId="0" xfId="61" applyFont="1" applyAlignment="1">
      <alignment horizontal="center"/>
      <protection/>
    </xf>
    <xf numFmtId="0" fontId="33" fillId="0" borderId="0" xfId="61" applyFont="1" applyAlignment="1">
      <alignment horizontal="left"/>
      <protection/>
    </xf>
    <xf numFmtId="0" fontId="9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TT CMi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0.0006</c:v>
                  </c:pt>
                  <c:pt idx="8">
                    <c:v>0.0002</c:v>
                  </c:pt>
                  <c:pt idx="9">
                    <c:v>0.0005</c:v>
                  </c:pt>
                  <c:pt idx="10">
                    <c:v>0</c:v>
                  </c:pt>
                  <c:pt idx="11">
                    <c:v>0.0005</c:v>
                  </c:pt>
                  <c:pt idx="12">
                    <c:v>0.0005</c:v>
                  </c:pt>
                  <c:pt idx="13">
                    <c:v>0.0004</c:v>
                  </c:pt>
                  <c:pt idx="14">
                    <c:v>0.0017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0.005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axId val="35389104"/>
        <c:axId val="50066481"/>
      </c:scatterChart>
      <c:valAx>
        <c:axId val="35389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 val="autoZero"/>
        <c:crossBetween val="midCat"/>
        <c:dispUnits/>
      </c:valAx>
      <c:valAx>
        <c:axId val="5006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TT CMi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0.02</c:v>
                  </c:pt>
                  <c:pt idx="3">
                    <c:v>0.008</c:v>
                  </c:pt>
                  <c:pt idx="4">
                    <c:v>NaN</c:v>
                  </c:pt>
                  <c:pt idx="5">
                    <c:v>0.008</c:v>
                  </c:pt>
                  <c:pt idx="6">
                    <c:v>0.001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47945146"/>
        <c:axId val="28853131"/>
      </c:scatterChart>
      <c:valAx>
        <c:axId val="4794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3131"/>
        <c:crosses val="autoZero"/>
        <c:crossBetween val="midCat"/>
        <c:dispUnits/>
      </c:valAx>
      <c:valAx>
        <c:axId val="28853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0</xdr:rowOff>
    </xdr:from>
    <xdr:to>
      <xdr:col>14</xdr:col>
      <xdr:colOff>219075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5772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konkoly.hu/cgi-bin/IBVS?5894" TargetMode="External" /><Relationship Id="rId3" Type="http://schemas.openxmlformats.org/officeDocument/2006/relationships/hyperlink" Target="http://var.astro.cz/oejv/issues/oejv0160.pdf" TargetMode="External" /><Relationship Id="rId4" Type="http://schemas.openxmlformats.org/officeDocument/2006/relationships/hyperlink" Target="http://var.astro.cz/oejv/issues/oejv0160.pdf" TargetMode="External" /><Relationship Id="rId5" Type="http://schemas.openxmlformats.org/officeDocument/2006/relationships/hyperlink" Target="http://var.astro.cz/oejv/issues/oejv0155.pdf" TargetMode="External" /><Relationship Id="rId6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28</v>
      </c>
      <c r="B2" s="34" t="s">
        <v>55</v>
      </c>
    </row>
    <row r="4" spans="1:4" ht="14.25" thickBot="1" thickTop="1">
      <c r="A4" s="8" t="s">
        <v>1</v>
      </c>
      <c r="C4" s="3">
        <v>25235.67</v>
      </c>
      <c r="D4" s="19">
        <v>0.84555</v>
      </c>
    </row>
    <row r="5" spans="1:4" ht="13.5" thickTop="1">
      <c r="A5" s="21" t="s">
        <v>45</v>
      </c>
      <c r="B5" s="16"/>
      <c r="C5" s="22">
        <v>-9.5</v>
      </c>
      <c r="D5" s="16" t="s">
        <v>46</v>
      </c>
    </row>
    <row r="6" ht="12.75">
      <c r="A6" s="8" t="s">
        <v>2</v>
      </c>
    </row>
    <row r="7" spans="1:3" ht="12.75">
      <c r="A7" t="s">
        <v>3</v>
      </c>
      <c r="C7">
        <f>+C4</f>
        <v>25235.67</v>
      </c>
    </row>
    <row r="8" spans="1:3" ht="12.75">
      <c r="A8" t="s">
        <v>4</v>
      </c>
      <c r="C8" s="15">
        <v>0.8455176598338572</v>
      </c>
    </row>
    <row r="9" spans="1:4" ht="12.75">
      <c r="A9" s="32" t="s">
        <v>50</v>
      </c>
      <c r="B9" s="33">
        <v>21</v>
      </c>
      <c r="C9" s="24" t="str">
        <f>"F"&amp;B9</f>
        <v>F21</v>
      </c>
      <c r="D9" s="12" t="str">
        <f>"G"&amp;B9</f>
        <v>G21</v>
      </c>
    </row>
    <row r="10" spans="1:5" ht="13.5" thickBot="1">
      <c r="A10" s="16"/>
      <c r="B10" s="16"/>
      <c r="C10" s="7" t="s">
        <v>23</v>
      </c>
      <c r="D10" s="7" t="s">
        <v>24</v>
      </c>
      <c r="E10" s="16"/>
    </row>
    <row r="11" spans="1:5" ht="12.75">
      <c r="A11" s="16" t="s">
        <v>17</v>
      </c>
      <c r="B11" s="16"/>
      <c r="C11" s="23">
        <f ca="1">INTERCEPT(INDIRECT($D$9):G992,INDIRECT($C$9):F992)</f>
        <v>0.0015606952416625046</v>
      </c>
      <c r="D11" s="6"/>
      <c r="E11" s="16"/>
    </row>
    <row r="12" spans="1:5" ht="12.75">
      <c r="A12" s="16" t="s">
        <v>18</v>
      </c>
      <c r="B12" s="16"/>
      <c r="C12" s="23">
        <f ca="1">SLOPE(INDIRECT($D$9):G992,INDIRECT($C$9):F992)</f>
        <v>-4.336757311951599E-08</v>
      </c>
      <c r="D12" s="6"/>
      <c r="E12" s="16"/>
    </row>
    <row r="13" spans="1:3" ht="12.75">
      <c r="A13" s="16" t="s">
        <v>22</v>
      </c>
      <c r="B13" s="16"/>
      <c r="C13" s="6" t="s">
        <v>15</v>
      </c>
    </row>
    <row r="14" spans="1:3" ht="12.75">
      <c r="A14" s="16"/>
      <c r="B14" s="16"/>
      <c r="C14" s="16"/>
    </row>
    <row r="15" spans="1:6" ht="12.75">
      <c r="A15" s="25" t="s">
        <v>19</v>
      </c>
      <c r="B15" s="16"/>
      <c r="C15" s="13">
        <f>(C7+C11)+(C8+C12)*INT(MAX(F21:F3533))</f>
        <v>57724.685973412204</v>
      </c>
      <c r="E15" s="26" t="s">
        <v>53</v>
      </c>
      <c r="F15" s="22">
        <v>1</v>
      </c>
    </row>
    <row r="16" spans="1:6" ht="12.75">
      <c r="A16" s="28" t="s">
        <v>5</v>
      </c>
      <c r="B16" s="16"/>
      <c r="C16" s="14">
        <f>+C8+C12</f>
        <v>0.8455176164662841</v>
      </c>
      <c r="E16" s="26" t="s">
        <v>47</v>
      </c>
      <c r="F16" s="27">
        <f ca="1">NOW()+15018.5+$C$5/24</f>
        <v>59895.85235648148</v>
      </c>
    </row>
    <row r="17" spans="1:6" ht="13.5" thickBot="1">
      <c r="A17" s="26" t="s">
        <v>42</v>
      </c>
      <c r="B17" s="16"/>
      <c r="C17" s="16">
        <f>COUNT(C21:C2191)</f>
        <v>19</v>
      </c>
      <c r="E17" s="26" t="s">
        <v>54</v>
      </c>
      <c r="F17" s="27">
        <f>ROUND(2*(F16-$C$7)/$C$8,0)/2+F15</f>
        <v>40994</v>
      </c>
    </row>
    <row r="18" spans="1:6" ht="14.25" thickBot="1" thickTop="1">
      <c r="A18" s="28" t="s">
        <v>6</v>
      </c>
      <c r="B18" s="16"/>
      <c r="C18" s="30">
        <f>+C15</f>
        <v>57724.685973412204</v>
      </c>
      <c r="D18" s="31">
        <f>+C16</f>
        <v>0.8455176164662841</v>
      </c>
      <c r="E18" s="26" t="s">
        <v>48</v>
      </c>
      <c r="F18" s="12">
        <f>ROUND(2*(F16-$C$15)/$C$16,0)/2+F15</f>
        <v>2569</v>
      </c>
    </row>
    <row r="19" spans="5:6" ht="13.5" thickTop="1">
      <c r="E19" s="26" t="s">
        <v>49</v>
      </c>
      <c r="F19" s="29">
        <f>+$C$15+$C$16*F18-15018.5-$C$5/24</f>
        <v>44878.71656344742</v>
      </c>
    </row>
    <row r="20" spans="1:17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68</v>
      </c>
      <c r="I20" s="10" t="s">
        <v>71</v>
      </c>
      <c r="J20" s="10" t="s">
        <v>65</v>
      </c>
      <c r="K20" s="10" t="s">
        <v>63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</row>
    <row r="21" spans="1:17" ht="12.75" customHeight="1">
      <c r="A21" t="s">
        <v>13</v>
      </c>
      <c r="C21" s="18">
        <v>25235.67</v>
      </c>
      <c r="D21" s="18" t="s">
        <v>15</v>
      </c>
      <c r="E21">
        <f aca="true" t="shared" si="0" ref="E21:E35">+(C21-C$7)/C$8</f>
        <v>0</v>
      </c>
      <c r="F21">
        <f aca="true" t="shared" si="1" ref="F21:F39">ROUND(2*E21,0)/2</f>
        <v>0</v>
      </c>
      <c r="G21">
        <f aca="true" t="shared" si="2" ref="G21:G35">+C21-(C$7+F21*C$8)</f>
        <v>0</v>
      </c>
      <c r="H21">
        <f>+G21</f>
        <v>0</v>
      </c>
      <c r="O21">
        <f aca="true" t="shared" si="3" ref="O21:O35">+C$11+C$12*F21</f>
        <v>0.0015606952416625046</v>
      </c>
      <c r="Q21" s="2">
        <f aca="true" t="shared" si="4" ref="Q21:Q35">+C21-15018.5</f>
        <v>10217.169999999998</v>
      </c>
    </row>
    <row r="22" spans="1:32" ht="12.75" customHeight="1">
      <c r="A22" t="s">
        <v>34</v>
      </c>
      <c r="C22" s="20">
        <v>48356.36</v>
      </c>
      <c r="D22" s="18">
        <v>0.01</v>
      </c>
      <c r="E22">
        <f t="shared" si="0"/>
        <v>27345.011344343984</v>
      </c>
      <c r="F22">
        <f t="shared" si="1"/>
        <v>27345</v>
      </c>
      <c r="G22">
        <f t="shared" si="2"/>
        <v>0.009591843176167458</v>
      </c>
      <c r="I22">
        <f>+G22</f>
        <v>0.009591843176167458</v>
      </c>
      <c r="O22">
        <f t="shared" si="3"/>
        <v>0.0003748089547093399</v>
      </c>
      <c r="Q22" s="2">
        <f t="shared" si="4"/>
        <v>33337.86</v>
      </c>
      <c r="AB22">
        <v>22</v>
      </c>
      <c r="AD22" t="s">
        <v>33</v>
      </c>
      <c r="AF22" t="s">
        <v>35</v>
      </c>
    </row>
    <row r="23" spans="1:32" ht="12.75" customHeight="1">
      <c r="A23" t="s">
        <v>37</v>
      </c>
      <c r="C23" s="20">
        <v>48662.435</v>
      </c>
      <c r="D23" s="18">
        <v>0.02</v>
      </c>
      <c r="E23">
        <f t="shared" si="0"/>
        <v>27707.0085142909</v>
      </c>
      <c r="F23">
        <f t="shared" si="1"/>
        <v>27707</v>
      </c>
      <c r="G23">
        <f t="shared" si="2"/>
        <v>0.007198983323178254</v>
      </c>
      <c r="I23">
        <f>+G23</f>
        <v>0.007198983323178254</v>
      </c>
      <c r="O23">
        <f t="shared" si="3"/>
        <v>0.00035910989324007504</v>
      </c>
      <c r="Q23" s="2">
        <f t="shared" si="4"/>
        <v>33643.935</v>
      </c>
      <c r="AA23" t="s">
        <v>36</v>
      </c>
      <c r="AB23">
        <v>15</v>
      </c>
      <c r="AD23" t="s">
        <v>33</v>
      </c>
      <c r="AF23" t="s">
        <v>35</v>
      </c>
    </row>
    <row r="24" spans="1:32" ht="12.75" customHeight="1">
      <c r="A24" t="s">
        <v>38</v>
      </c>
      <c r="C24" s="20">
        <v>48974.428</v>
      </c>
      <c r="D24" s="18">
        <v>0.008</v>
      </c>
      <c r="E24">
        <f t="shared" si="0"/>
        <v>28076.004946679208</v>
      </c>
      <c r="F24">
        <f t="shared" si="1"/>
        <v>28076</v>
      </c>
      <c r="G24">
        <f t="shared" si="2"/>
        <v>0.004182504628261086</v>
      </c>
      <c r="I24">
        <f>+G24</f>
        <v>0.004182504628261086</v>
      </c>
      <c r="O24">
        <f t="shared" si="3"/>
        <v>0.0003431072587589737</v>
      </c>
      <c r="Q24" s="2">
        <f t="shared" si="4"/>
        <v>33955.928</v>
      </c>
      <c r="AA24" t="s">
        <v>36</v>
      </c>
      <c r="AB24">
        <v>12</v>
      </c>
      <c r="AD24" t="s">
        <v>33</v>
      </c>
      <c r="AF24" t="s">
        <v>35</v>
      </c>
    </row>
    <row r="25" spans="1:32" ht="12.75" customHeight="1">
      <c r="A25" t="s">
        <v>39</v>
      </c>
      <c r="C25" s="20">
        <v>49396.337</v>
      </c>
      <c r="D25" s="18"/>
      <c r="E25">
        <f t="shared" si="0"/>
        <v>28574.999846540795</v>
      </c>
      <c r="F25">
        <f t="shared" si="1"/>
        <v>28575</v>
      </c>
      <c r="G25">
        <f t="shared" si="2"/>
        <v>-0.00012975247227586806</v>
      </c>
      <c r="I25">
        <f>+G25</f>
        <v>-0.00012975247227586806</v>
      </c>
      <c r="O25">
        <f t="shared" si="3"/>
        <v>0.0003214668397723351</v>
      </c>
      <c r="Q25" s="2">
        <f t="shared" si="4"/>
        <v>34377.837</v>
      </c>
      <c r="AA25" t="s">
        <v>36</v>
      </c>
      <c r="AB25">
        <v>25</v>
      </c>
      <c r="AD25" t="s">
        <v>33</v>
      </c>
      <c r="AF25" t="s">
        <v>35</v>
      </c>
    </row>
    <row r="26" spans="1:32" ht="12.75" customHeight="1">
      <c r="A26" t="s">
        <v>41</v>
      </c>
      <c r="C26" s="20">
        <v>49685.492</v>
      </c>
      <c r="D26" s="18">
        <v>0.008</v>
      </c>
      <c r="E26">
        <f t="shared" si="0"/>
        <v>28916.98560714196</v>
      </c>
      <c r="F26">
        <f t="shared" si="1"/>
        <v>28917</v>
      </c>
      <c r="G26">
        <f t="shared" si="2"/>
        <v>-0.012169415647804271</v>
      </c>
      <c r="I26">
        <f>+G26</f>
        <v>-0.012169415647804271</v>
      </c>
      <c r="O26">
        <f t="shared" si="3"/>
        <v>0.00030663512976546073</v>
      </c>
      <c r="Q26" s="2">
        <f t="shared" si="4"/>
        <v>34666.992</v>
      </c>
      <c r="AA26" t="s">
        <v>40</v>
      </c>
      <c r="AB26">
        <v>12</v>
      </c>
      <c r="AD26" t="s">
        <v>33</v>
      </c>
      <c r="AF26" t="s">
        <v>35</v>
      </c>
    </row>
    <row r="27" spans="1:17" ht="12.75" customHeight="1">
      <c r="A27" s="16" t="s">
        <v>44</v>
      </c>
      <c r="B27" s="17"/>
      <c r="C27" s="18">
        <v>53768.5081</v>
      </c>
      <c r="D27" s="18">
        <v>0.001</v>
      </c>
      <c r="E27">
        <f t="shared" si="0"/>
        <v>33745.99899617313</v>
      </c>
      <c r="F27">
        <f t="shared" si="1"/>
        <v>33746</v>
      </c>
      <c r="G27">
        <f t="shared" si="2"/>
        <v>-0.0008487533414154314</v>
      </c>
      <c r="K27">
        <f aca="true" t="shared" si="5" ref="K27:K35">+G27</f>
        <v>-0.0008487533414154314</v>
      </c>
      <c r="O27">
        <f t="shared" si="3"/>
        <v>9.721311917131785E-05</v>
      </c>
      <c r="Q27" s="2">
        <f t="shared" si="4"/>
        <v>38750.0081</v>
      </c>
    </row>
    <row r="28" spans="1:17" ht="12.75" customHeight="1">
      <c r="A28" s="35" t="s">
        <v>51</v>
      </c>
      <c r="B28" s="36" t="s">
        <v>52</v>
      </c>
      <c r="C28" s="35">
        <v>54889.6617</v>
      </c>
      <c r="D28" s="35">
        <v>0.0006</v>
      </c>
      <c r="E28">
        <f t="shared" si="0"/>
        <v>35071.99566455768</v>
      </c>
      <c r="F28">
        <f t="shared" si="1"/>
        <v>35072</v>
      </c>
      <c r="G28">
        <f t="shared" si="2"/>
        <v>-0.003665693038783502</v>
      </c>
      <c r="K28">
        <f t="shared" si="5"/>
        <v>-0.003665693038783502</v>
      </c>
      <c r="O28">
        <f t="shared" si="3"/>
        <v>3.9707717214839755E-05</v>
      </c>
      <c r="Q28" s="2">
        <f t="shared" si="4"/>
        <v>39871.1617</v>
      </c>
    </row>
    <row r="29" spans="1:17" ht="12.75" customHeight="1">
      <c r="A29" s="50" t="s">
        <v>56</v>
      </c>
      <c r="B29" s="36" t="s">
        <v>52</v>
      </c>
      <c r="C29" s="35">
        <v>56013.35458</v>
      </c>
      <c r="D29" s="35">
        <v>0.0002</v>
      </c>
      <c r="E29">
        <f aca="true" t="shared" si="6" ref="E29:E34">+(C29-C$7)/C$8</f>
        <v>36400.995558209586</v>
      </c>
      <c r="F29">
        <f aca="true" t="shared" si="7" ref="F29:F34">ROUND(2*E29,0)/2</f>
        <v>36401</v>
      </c>
      <c r="G29">
        <f aca="true" t="shared" si="8" ref="G29:G34">+C29-(C$7+F29*C$8)</f>
        <v>-0.0037556122333626263</v>
      </c>
      <c r="K29">
        <f t="shared" si="5"/>
        <v>-0.0037556122333626263</v>
      </c>
      <c r="O29">
        <f aca="true" t="shared" si="9" ref="O29:O34">+C$11+C$12*F29</f>
        <v>-1.7927787460997064E-05</v>
      </c>
      <c r="Q29" s="2">
        <f aca="true" t="shared" si="10" ref="Q29:Q34">+C29-15018.5</f>
        <v>40994.85458</v>
      </c>
    </row>
    <row r="30" spans="1:17" ht="12.75" customHeight="1">
      <c r="A30" s="50" t="s">
        <v>56</v>
      </c>
      <c r="B30" s="36" t="s">
        <v>52</v>
      </c>
      <c r="C30" s="35">
        <v>56013.35526</v>
      </c>
      <c r="D30" s="35">
        <v>0.0005</v>
      </c>
      <c r="E30">
        <f t="shared" si="6"/>
        <v>36400.99636245062</v>
      </c>
      <c r="F30">
        <f t="shared" si="7"/>
        <v>36401</v>
      </c>
      <c r="G30">
        <f t="shared" si="8"/>
        <v>-0.003075612235988956</v>
      </c>
      <c r="K30">
        <f t="shared" si="5"/>
        <v>-0.003075612235988956</v>
      </c>
      <c r="O30">
        <f t="shared" si="9"/>
        <v>-1.7927787460997064E-05</v>
      </c>
      <c r="Q30" s="2">
        <f t="shared" si="10"/>
        <v>40994.85526</v>
      </c>
    </row>
    <row r="31" spans="1:17" ht="12.75" customHeight="1">
      <c r="A31" s="50" t="s">
        <v>57</v>
      </c>
      <c r="B31" s="36" t="s">
        <v>52</v>
      </c>
      <c r="C31" s="35">
        <v>56252.639</v>
      </c>
      <c r="D31" s="50" t="s">
        <v>58</v>
      </c>
      <c r="E31">
        <f t="shared" si="6"/>
        <v>36683.999014396446</v>
      </c>
      <c r="F31">
        <f t="shared" si="7"/>
        <v>36684</v>
      </c>
      <c r="G31">
        <f t="shared" si="8"/>
        <v>-0.0008333452133229002</v>
      </c>
      <c r="K31">
        <f t="shared" si="5"/>
        <v>-0.0008333452133229002</v>
      </c>
      <c r="O31">
        <f t="shared" si="9"/>
        <v>-3.0200810653820088E-05</v>
      </c>
      <c r="Q31" s="2">
        <f t="shared" si="10"/>
        <v>41234.139</v>
      </c>
    </row>
    <row r="32" spans="1:17" ht="12.75" customHeight="1">
      <c r="A32" s="35" t="s">
        <v>60</v>
      </c>
      <c r="B32" s="36" t="s">
        <v>52</v>
      </c>
      <c r="C32" s="51">
        <v>56608.60121</v>
      </c>
      <c r="D32" s="35">
        <v>0.0005</v>
      </c>
      <c r="E32">
        <f t="shared" si="6"/>
        <v>37104.99815718188</v>
      </c>
      <c r="F32">
        <f t="shared" si="7"/>
        <v>37105</v>
      </c>
      <c r="G32">
        <f t="shared" si="8"/>
        <v>-0.0015581352708977647</v>
      </c>
      <c r="K32">
        <f t="shared" si="5"/>
        <v>-0.0015581352708977647</v>
      </c>
      <c r="O32">
        <f t="shared" si="9"/>
        <v>-4.8458558937136296E-05</v>
      </c>
      <c r="Q32" s="2">
        <f t="shared" si="10"/>
        <v>41590.10121</v>
      </c>
    </row>
    <row r="33" spans="1:17" ht="12.75" customHeight="1">
      <c r="A33" s="35" t="s">
        <v>60</v>
      </c>
      <c r="B33" s="36" t="s">
        <v>52</v>
      </c>
      <c r="C33" s="51">
        <v>56608.6014</v>
      </c>
      <c r="D33" s="35">
        <v>0.0005</v>
      </c>
      <c r="E33">
        <f t="shared" si="6"/>
        <v>37104.99838189628</v>
      </c>
      <c r="F33">
        <f t="shared" si="7"/>
        <v>37105</v>
      </c>
      <c r="G33">
        <f t="shared" si="8"/>
        <v>-0.0013681352720595896</v>
      </c>
      <c r="K33">
        <f t="shared" si="5"/>
        <v>-0.0013681352720595896</v>
      </c>
      <c r="O33">
        <f t="shared" si="9"/>
        <v>-4.8458558937136296E-05</v>
      </c>
      <c r="Q33" s="2">
        <f t="shared" si="10"/>
        <v>41590.1014</v>
      </c>
    </row>
    <row r="34" spans="1:17" ht="12.75" customHeight="1">
      <c r="A34" s="35" t="s">
        <v>60</v>
      </c>
      <c r="B34" s="36" t="s">
        <v>52</v>
      </c>
      <c r="C34" s="51">
        <v>56608.60256</v>
      </c>
      <c r="D34" s="35">
        <v>0.0004</v>
      </c>
      <c r="E34">
        <f t="shared" si="6"/>
        <v>37104.99975383688</v>
      </c>
      <c r="F34">
        <f t="shared" si="7"/>
        <v>37105</v>
      </c>
      <c r="G34">
        <f t="shared" si="8"/>
        <v>-0.00020813527225982398</v>
      </c>
      <c r="K34">
        <f t="shared" si="5"/>
        <v>-0.00020813527225982398</v>
      </c>
      <c r="O34">
        <f t="shared" si="9"/>
        <v>-4.8458558937136296E-05</v>
      </c>
      <c r="Q34" s="2">
        <f t="shared" si="10"/>
        <v>41590.10256</v>
      </c>
    </row>
    <row r="35" spans="1:17" ht="12.75" customHeight="1">
      <c r="A35" s="52" t="s">
        <v>59</v>
      </c>
      <c r="B35" s="53" t="s">
        <v>52</v>
      </c>
      <c r="C35" s="52">
        <v>56713.4472</v>
      </c>
      <c r="D35" s="52">
        <v>0.0017</v>
      </c>
      <c r="E35">
        <f t="shared" si="0"/>
        <v>37229.00028626881</v>
      </c>
      <c r="F35">
        <f t="shared" si="1"/>
        <v>37229</v>
      </c>
      <c r="G35">
        <f t="shared" si="2"/>
        <v>0.00024204533110605553</v>
      </c>
      <c r="K35">
        <f t="shared" si="5"/>
        <v>0.00024204533110605553</v>
      </c>
      <c r="O35">
        <f t="shared" si="3"/>
        <v>-5.383613800395617E-05</v>
      </c>
      <c r="Q35" s="2">
        <f t="shared" si="4"/>
        <v>41694.9472</v>
      </c>
    </row>
    <row r="36" spans="1:17" ht="12.75" customHeight="1">
      <c r="A36" s="54" t="s">
        <v>130</v>
      </c>
      <c r="B36" s="55" t="s">
        <v>52</v>
      </c>
      <c r="C36" s="56">
        <v>57075.32945</v>
      </c>
      <c r="D36" s="56">
        <v>0.0005</v>
      </c>
      <c r="E36">
        <f>+(C36-C$7)/C$8</f>
        <v>37657.00110421873</v>
      </c>
      <c r="F36">
        <f t="shared" si="1"/>
        <v>37657</v>
      </c>
      <c r="G36">
        <f>+C36-(C$7+F36*C$8)</f>
        <v>0.0009336364382761531</v>
      </c>
      <c r="K36">
        <f>+G36</f>
        <v>0.0009336364382761531</v>
      </c>
      <c r="O36">
        <f>+C$11+C$12*F36</f>
        <v>-7.239745929910903E-05</v>
      </c>
      <c r="Q36" s="2">
        <f>+C36-15018.5</f>
        <v>42056.82945</v>
      </c>
    </row>
    <row r="37" spans="1:17" ht="12.75" customHeight="1">
      <c r="A37" s="54" t="s">
        <v>130</v>
      </c>
      <c r="B37" s="55" t="s">
        <v>52</v>
      </c>
      <c r="C37" s="56">
        <v>57075.32975</v>
      </c>
      <c r="D37" s="56">
        <v>0.0007</v>
      </c>
      <c r="E37">
        <f>+(C37-C$7)/C$8</f>
        <v>37657.00145903096</v>
      </c>
      <c r="F37">
        <f t="shared" si="1"/>
        <v>37657</v>
      </c>
      <c r="G37">
        <f>+C37-(C$7+F37*C$8)</f>
        <v>0.0012336364379734732</v>
      </c>
      <c r="K37">
        <f>+G37</f>
        <v>0.0012336364379734732</v>
      </c>
      <c r="O37">
        <f>+C$11+C$12*F37</f>
        <v>-7.239745929910903E-05</v>
      </c>
      <c r="Q37" s="2">
        <f>+C37-15018.5</f>
        <v>42056.82975</v>
      </c>
    </row>
    <row r="38" spans="1:17" ht="12.75" customHeight="1">
      <c r="A38" s="54" t="s">
        <v>130</v>
      </c>
      <c r="B38" s="55" t="s">
        <v>52</v>
      </c>
      <c r="C38" s="56">
        <v>57075.33064</v>
      </c>
      <c r="D38" s="56">
        <v>0.0007</v>
      </c>
      <c r="E38">
        <f>+(C38-C$7)/C$8</f>
        <v>37657.00251164055</v>
      </c>
      <c r="F38">
        <f t="shared" si="1"/>
        <v>37657</v>
      </c>
      <c r="G38">
        <f>+C38-(C$7+F38*C$8)</f>
        <v>0.0021236364409560338</v>
      </c>
      <c r="K38">
        <f>+G38</f>
        <v>0.0021236364409560338</v>
      </c>
      <c r="O38">
        <f>+C$11+C$12*F38</f>
        <v>-7.239745929910903E-05</v>
      </c>
      <c r="Q38" s="2">
        <f>+C38-15018.5</f>
        <v>42056.83064</v>
      </c>
    </row>
    <row r="39" spans="1:17" ht="12.75" customHeight="1">
      <c r="A39" s="57" t="s">
        <v>0</v>
      </c>
      <c r="B39" s="58" t="s">
        <v>52</v>
      </c>
      <c r="C39" s="59">
        <v>57724.691</v>
      </c>
      <c r="D39" s="60">
        <v>0.005</v>
      </c>
      <c r="E39">
        <f>+(C39-C$7)/C$8</f>
        <v>38425.005819966005</v>
      </c>
      <c r="F39">
        <f t="shared" si="1"/>
        <v>38425</v>
      </c>
      <c r="G39">
        <f>+C39-(C$7+F39*C$8)</f>
        <v>0.004920884042803664</v>
      </c>
      <c r="I39">
        <f>+G39</f>
        <v>0.004920884042803664</v>
      </c>
      <c r="O39">
        <f>+C$11+C$12*F39</f>
        <v>-0.00010570375545489738</v>
      </c>
      <c r="Q39" s="2">
        <f>+C39-15018.5</f>
        <v>42706.191</v>
      </c>
    </row>
    <row r="40" ht="12.75" customHeight="1">
      <c r="D40" s="6"/>
    </row>
    <row r="41" ht="12.75" customHeight="1">
      <c r="D41" s="6"/>
    </row>
    <row r="42" ht="12.75" customHeight="1">
      <c r="D42" s="6"/>
    </row>
    <row r="43" ht="12.75" customHeight="1">
      <c r="D43" s="6"/>
    </row>
    <row r="44" ht="12.75" customHeight="1">
      <c r="D44" s="6"/>
    </row>
    <row r="45" ht="12.75" customHeight="1">
      <c r="D45" s="6"/>
    </row>
    <row r="46" ht="12.75" customHeight="1">
      <c r="D46" s="6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hyperlinks>
    <hyperlink ref="H1619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A1">
      <selection activeCell="G27" sqref="G2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ht="12.75">
      <c r="A2" t="s">
        <v>28</v>
      </c>
    </row>
    <row r="4" spans="1:4" ht="12.75">
      <c r="A4" s="8" t="s">
        <v>1</v>
      </c>
      <c r="C4" s="3">
        <v>25235.67</v>
      </c>
      <c r="D4" s="4">
        <v>0.84555</v>
      </c>
    </row>
    <row r="6" ht="12.75">
      <c r="A6" s="8" t="s">
        <v>2</v>
      </c>
    </row>
    <row r="7" spans="1:3" ht="12.75">
      <c r="A7" t="s">
        <v>3</v>
      </c>
      <c r="C7">
        <f>+C4</f>
        <v>25235.67</v>
      </c>
    </row>
    <row r="8" spans="1:3" ht="12.75">
      <c r="A8" t="s">
        <v>4</v>
      </c>
      <c r="C8">
        <f>+D4</f>
        <v>0.84555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17</v>
      </c>
      <c r="C11">
        <f>INTERCEPT(G21:G993,F21:F993)</f>
        <v>0.007773564839937852</v>
      </c>
      <c r="D11" s="6"/>
    </row>
    <row r="12" spans="1:4" ht="12.75">
      <c r="A12" t="s">
        <v>18</v>
      </c>
      <c r="C12">
        <f>SLOPE(G21:G993,F21:F993)</f>
        <v>-3.8366363483952774E-05</v>
      </c>
      <c r="D12" s="6"/>
    </row>
    <row r="13" spans="1:4" ht="12.75">
      <c r="A13" t="s">
        <v>22</v>
      </c>
      <c r="C13" s="6" t="s">
        <v>15</v>
      </c>
      <c r="D13" s="6"/>
    </row>
    <row r="14" ht="12.75">
      <c r="A14" t="s">
        <v>27</v>
      </c>
    </row>
    <row r="15" spans="1:3" ht="12.75">
      <c r="A15" s="5" t="s">
        <v>19</v>
      </c>
      <c r="C15" s="13">
        <f>(C7+C11)+(C8+C12)*INT(MAX(F21:F3533))</f>
        <v>53766.62233899544</v>
      </c>
    </row>
    <row r="16" spans="1:3" ht="12.75">
      <c r="A16" s="8" t="s">
        <v>5</v>
      </c>
      <c r="C16" s="14">
        <f>+C8+C12</f>
        <v>0.845511633636516</v>
      </c>
    </row>
    <row r="17" spans="1:3" ht="13.5" thickBot="1">
      <c r="A17" s="15" t="s">
        <v>42</v>
      </c>
      <c r="C17">
        <f>COUNT(C21:C2191)</f>
        <v>7</v>
      </c>
    </row>
    <row r="18" spans="1:4" ht="12.75">
      <c r="A18" s="8" t="s">
        <v>6</v>
      </c>
      <c r="C18" s="3">
        <f>+C15</f>
        <v>53766.62233899544</v>
      </c>
      <c r="D18" s="4">
        <f>+C16</f>
        <v>0.845511633636516</v>
      </c>
    </row>
    <row r="19" ht="13.5" thickTop="1"/>
    <row r="20" spans="1:17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32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</row>
    <row r="21" spans="1:17" ht="12.75">
      <c r="A21" t="s">
        <v>13</v>
      </c>
      <c r="C21">
        <v>25235.67</v>
      </c>
      <c r="D21" s="6" t="s">
        <v>15</v>
      </c>
      <c r="E21">
        <f aca="true" t="shared" si="0" ref="E21:E26">+(C21-C$7)/C$8</f>
        <v>0</v>
      </c>
      <c r="F21">
        <f aca="true" t="shared" si="1" ref="F21:F27">ROUND(2*E21,0)/2</f>
        <v>0</v>
      </c>
      <c r="G21">
        <f>+C21-(C$7+F21*C$8)</f>
        <v>0</v>
      </c>
      <c r="H21">
        <f>+G21</f>
        <v>0</v>
      </c>
      <c r="O21">
        <f aca="true" t="shared" si="2" ref="O21:O26">+C$11+C$12*F21</f>
        <v>0.007773564839937852</v>
      </c>
      <c r="Q21" s="2">
        <f aca="true" t="shared" si="3" ref="Q21:Q26">+C21-15018.5</f>
        <v>10217.169999999998</v>
      </c>
    </row>
    <row r="22" spans="1:32" ht="12.75">
      <c r="A22" t="s">
        <v>34</v>
      </c>
      <c r="C22" s="11">
        <v>48356.36</v>
      </c>
      <c r="D22">
        <v>0.01</v>
      </c>
      <c r="E22">
        <f t="shared" si="0"/>
        <v>27343.965466264563</v>
      </c>
      <c r="F22">
        <f t="shared" si="1"/>
        <v>27344</v>
      </c>
      <c r="G22" s="12">
        <f>+C22-(C$7+F22*C$8)-1</f>
        <v>-1.0291999999972177</v>
      </c>
      <c r="I22">
        <f aca="true" t="shared" si="4" ref="I22:I27">+G22</f>
        <v>-1.0291999999972177</v>
      </c>
      <c r="O22">
        <f t="shared" si="2"/>
        <v>-1.041316278265267</v>
      </c>
      <c r="Q22" s="2">
        <f t="shared" si="3"/>
        <v>33337.86</v>
      </c>
      <c r="AB22">
        <v>22</v>
      </c>
      <c r="AD22" t="s">
        <v>33</v>
      </c>
      <c r="AF22" t="s">
        <v>35</v>
      </c>
    </row>
    <row r="23" spans="1:32" ht="12.75">
      <c r="A23" t="s">
        <v>37</v>
      </c>
      <c r="C23" s="11">
        <v>48662.435</v>
      </c>
      <c r="D23">
        <v>0.02</v>
      </c>
      <c r="E23">
        <f t="shared" si="0"/>
        <v>27705.948790727925</v>
      </c>
      <c r="F23">
        <f t="shared" si="1"/>
        <v>27706</v>
      </c>
      <c r="G23" s="12">
        <f>+C23-(C$7+F23*C$8)-1</f>
        <v>-1.0433000000048196</v>
      </c>
      <c r="I23">
        <f t="shared" si="4"/>
        <v>-1.0433000000048196</v>
      </c>
      <c r="O23">
        <f t="shared" si="2"/>
        <v>-1.0552049018464578</v>
      </c>
      <c r="Q23" s="2">
        <f t="shared" si="3"/>
        <v>33643.935</v>
      </c>
      <c r="AA23" t="s">
        <v>36</v>
      </c>
      <c r="AB23">
        <v>15</v>
      </c>
      <c r="AD23" t="s">
        <v>33</v>
      </c>
      <c r="AF23" t="s">
        <v>35</v>
      </c>
    </row>
    <row r="24" spans="1:32" ht="12.75">
      <c r="A24" t="s">
        <v>38</v>
      </c>
      <c r="C24" s="11">
        <v>48974.428</v>
      </c>
      <c r="D24">
        <v>0.008</v>
      </c>
      <c r="E24">
        <f t="shared" si="0"/>
        <v>28074.93110992845</v>
      </c>
      <c r="F24">
        <f t="shared" si="1"/>
        <v>28075</v>
      </c>
      <c r="G24" s="12">
        <f>+C24-(C$7+F24*C$8)-1</f>
        <v>-1.0582500000018626</v>
      </c>
      <c r="I24">
        <f t="shared" si="4"/>
        <v>-1.0582500000018626</v>
      </c>
      <c r="O24">
        <f t="shared" si="2"/>
        <v>-1.0693620899720364</v>
      </c>
      <c r="Q24" s="2">
        <f t="shared" si="3"/>
        <v>33955.928</v>
      </c>
      <c r="AA24" t="s">
        <v>36</v>
      </c>
      <c r="AB24">
        <v>12</v>
      </c>
      <c r="AD24" t="s">
        <v>33</v>
      </c>
      <c r="AF24" t="s">
        <v>35</v>
      </c>
    </row>
    <row r="25" spans="1:32" ht="12.75">
      <c r="A25" t="s">
        <v>39</v>
      </c>
      <c r="C25" s="11">
        <v>49396.337</v>
      </c>
      <c r="E25">
        <f t="shared" si="0"/>
        <v>28573.906924487022</v>
      </c>
      <c r="F25">
        <f t="shared" si="1"/>
        <v>28574</v>
      </c>
      <c r="G25" s="12">
        <f>+C25-(C$7+F25*C$8)-1</f>
        <v>-1.0786999999982072</v>
      </c>
      <c r="I25">
        <f t="shared" si="4"/>
        <v>-1.0786999999982072</v>
      </c>
      <c r="O25">
        <f t="shared" si="2"/>
        <v>-1.0885069053505285</v>
      </c>
      <c r="Q25" s="2">
        <f t="shared" si="3"/>
        <v>34377.837</v>
      </c>
      <c r="AA25" t="s">
        <v>36</v>
      </c>
      <c r="AB25">
        <v>25</v>
      </c>
      <c r="AD25" t="s">
        <v>33</v>
      </c>
      <c r="AF25" t="s">
        <v>35</v>
      </c>
    </row>
    <row r="26" spans="1:32" ht="12.75">
      <c r="A26" t="s">
        <v>41</v>
      </c>
      <c r="C26" s="11">
        <v>49685.492</v>
      </c>
      <c r="D26">
        <v>0.008</v>
      </c>
      <c r="E26">
        <f t="shared" si="0"/>
        <v>28915.879604990834</v>
      </c>
      <c r="F26">
        <f t="shared" si="1"/>
        <v>28916</v>
      </c>
      <c r="G26" s="12">
        <f>+C26-(C$7+F26*C$8)-1</f>
        <v>-1.1018000000040047</v>
      </c>
      <c r="I26">
        <f t="shared" si="4"/>
        <v>-1.1018000000040047</v>
      </c>
      <c r="O26">
        <f t="shared" si="2"/>
        <v>-1.1016282016620407</v>
      </c>
      <c r="Q26" s="2">
        <f t="shared" si="3"/>
        <v>34666.992</v>
      </c>
      <c r="AA26" t="s">
        <v>40</v>
      </c>
      <c r="AB26">
        <v>12</v>
      </c>
      <c r="AD26" t="s">
        <v>33</v>
      </c>
      <c r="AF26" t="s">
        <v>35</v>
      </c>
    </row>
    <row r="27" spans="1:17" ht="12.75">
      <c r="A27" s="16" t="s">
        <v>44</v>
      </c>
      <c r="B27" s="17"/>
      <c r="C27" s="18">
        <v>53768.5081</v>
      </c>
      <c r="D27" s="18">
        <v>0.001</v>
      </c>
      <c r="E27">
        <f>+(C27-C$7)/C$8</f>
        <v>33744.70829637514</v>
      </c>
      <c r="F27">
        <f t="shared" si="1"/>
        <v>33744.5</v>
      </c>
      <c r="G27" s="15">
        <f>+C27-(C$7+F27*C$8)-1.5</f>
        <v>-1.3238749999945867</v>
      </c>
      <c r="I27">
        <f t="shared" si="4"/>
        <v>-1.3238749999945867</v>
      </c>
      <c r="O27">
        <f>+C$11+C$12*F27</f>
        <v>-1.2868801877443063</v>
      </c>
      <c r="Q27" s="2">
        <f>+C27-15018.5</f>
        <v>38750.0081</v>
      </c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5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8" customWidth="1"/>
    <col min="2" max="2" width="4.421875" style="16" customWidth="1"/>
    <col min="3" max="3" width="12.7109375" style="18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8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37" t="s">
        <v>61</v>
      </c>
      <c r="I1" s="38" t="s">
        <v>62</v>
      </c>
      <c r="J1" s="39" t="s">
        <v>63</v>
      </c>
    </row>
    <row r="2" spans="9:10" ht="12.75">
      <c r="I2" s="40" t="s">
        <v>64</v>
      </c>
      <c r="J2" s="41" t="s">
        <v>65</v>
      </c>
    </row>
    <row r="3" spans="1:10" ht="12.75">
      <c r="A3" s="42" t="s">
        <v>66</v>
      </c>
      <c r="I3" s="40" t="s">
        <v>67</v>
      </c>
      <c r="J3" s="41" t="s">
        <v>68</v>
      </c>
    </row>
    <row r="4" spans="9:10" ht="12.75">
      <c r="I4" s="40" t="s">
        <v>69</v>
      </c>
      <c r="J4" s="41" t="s">
        <v>68</v>
      </c>
    </row>
    <row r="5" spans="9:10" ht="13.5" thickBot="1">
      <c r="I5" s="43" t="s">
        <v>70</v>
      </c>
      <c r="J5" s="44" t="s">
        <v>71</v>
      </c>
    </row>
    <row r="10" ht="13.5" thickBot="1"/>
    <row r="11" spans="1:16" ht="12.75" customHeight="1" thickBot="1">
      <c r="A11" s="18" t="str">
        <f aca="true" t="shared" si="0" ref="A11:A21">P11</f>
        <v> BBS 97 </v>
      </c>
      <c r="B11" s="6" t="str">
        <f aca="true" t="shared" si="1" ref="B11:B21">IF(H11=INT(H11),"I","II")</f>
        <v>I</v>
      </c>
      <c r="C11" s="18">
        <f aca="true" t="shared" si="2" ref="C11:C21">1*G11</f>
        <v>48356.36</v>
      </c>
      <c r="D11" s="16" t="str">
        <f aca="true" t="shared" si="3" ref="D11:D21">VLOOKUP(F11,I$1:J$5,2,FALSE)</f>
        <v>vis</v>
      </c>
      <c r="E11" s="45">
        <f>VLOOKUP(C11,Active!C$21:E$973,3,FALSE)</f>
        <v>27345.011344343984</v>
      </c>
      <c r="F11" s="6" t="s">
        <v>70</v>
      </c>
      <c r="G11" s="16" t="str">
        <f aca="true" t="shared" si="4" ref="G11:G21">MID(I11,3,LEN(I11)-3)</f>
        <v>48356.36</v>
      </c>
      <c r="H11" s="18">
        <f aca="true" t="shared" si="5" ref="H11:H21">1*K11</f>
        <v>-7117</v>
      </c>
      <c r="I11" s="46" t="s">
        <v>72</v>
      </c>
      <c r="J11" s="47" t="s">
        <v>73</v>
      </c>
      <c r="K11" s="46">
        <v>-7117</v>
      </c>
      <c r="L11" s="46" t="s">
        <v>74</v>
      </c>
      <c r="M11" s="47" t="s">
        <v>75</v>
      </c>
      <c r="N11" s="47" t="s">
        <v>76</v>
      </c>
      <c r="O11" s="48" t="s">
        <v>77</v>
      </c>
      <c r="P11" s="48" t="s">
        <v>78</v>
      </c>
    </row>
    <row r="12" spans="1:16" ht="12.75" customHeight="1" thickBot="1">
      <c r="A12" s="18" t="str">
        <f t="shared" si="0"/>
        <v> BBS 101 </v>
      </c>
      <c r="B12" s="6" t="str">
        <f t="shared" si="1"/>
        <v>I</v>
      </c>
      <c r="C12" s="18">
        <f t="shared" si="2"/>
        <v>48662.435</v>
      </c>
      <c r="D12" s="16" t="str">
        <f t="shared" si="3"/>
        <v>vis</v>
      </c>
      <c r="E12" s="45">
        <f>VLOOKUP(C12,Active!C$21:E$973,3,FALSE)</f>
        <v>27707.0085142909</v>
      </c>
      <c r="F12" s="6" t="s">
        <v>70</v>
      </c>
      <c r="G12" s="16" t="str">
        <f t="shared" si="4"/>
        <v>48662.435</v>
      </c>
      <c r="H12" s="18">
        <f t="shared" si="5"/>
        <v>-6755</v>
      </c>
      <c r="I12" s="46" t="s">
        <v>79</v>
      </c>
      <c r="J12" s="47" t="s">
        <v>80</v>
      </c>
      <c r="K12" s="46">
        <v>-6755</v>
      </c>
      <c r="L12" s="46" t="s">
        <v>81</v>
      </c>
      <c r="M12" s="47" t="s">
        <v>75</v>
      </c>
      <c r="N12" s="47" t="s">
        <v>76</v>
      </c>
      <c r="O12" s="48" t="s">
        <v>77</v>
      </c>
      <c r="P12" s="48" t="s">
        <v>82</v>
      </c>
    </row>
    <row r="13" spans="1:16" ht="12.75" customHeight="1" thickBot="1">
      <c r="A13" s="18" t="str">
        <f t="shared" si="0"/>
        <v> BBS 103 </v>
      </c>
      <c r="B13" s="6" t="str">
        <f t="shared" si="1"/>
        <v>I</v>
      </c>
      <c r="C13" s="18">
        <f t="shared" si="2"/>
        <v>48974.428</v>
      </c>
      <c r="D13" s="16" t="str">
        <f t="shared" si="3"/>
        <v>vis</v>
      </c>
      <c r="E13" s="45">
        <f>VLOOKUP(C13,Active!C$21:E$973,3,FALSE)</f>
        <v>28076.004946679208</v>
      </c>
      <c r="F13" s="6" t="s">
        <v>70</v>
      </c>
      <c r="G13" s="16" t="str">
        <f t="shared" si="4"/>
        <v>48974.428</v>
      </c>
      <c r="H13" s="18">
        <f t="shared" si="5"/>
        <v>-6386</v>
      </c>
      <c r="I13" s="46" t="s">
        <v>83</v>
      </c>
      <c r="J13" s="47" t="s">
        <v>84</v>
      </c>
      <c r="K13" s="46">
        <v>-6386</v>
      </c>
      <c r="L13" s="46" t="s">
        <v>85</v>
      </c>
      <c r="M13" s="47" t="s">
        <v>75</v>
      </c>
      <c r="N13" s="47" t="s">
        <v>76</v>
      </c>
      <c r="O13" s="48" t="s">
        <v>77</v>
      </c>
      <c r="P13" s="48" t="s">
        <v>86</v>
      </c>
    </row>
    <row r="14" spans="1:16" ht="12.75" customHeight="1" thickBot="1">
      <c r="A14" s="18" t="str">
        <f t="shared" si="0"/>
        <v> BBS 106 </v>
      </c>
      <c r="B14" s="6" t="str">
        <f t="shared" si="1"/>
        <v>I</v>
      </c>
      <c r="C14" s="18">
        <f t="shared" si="2"/>
        <v>49396.337</v>
      </c>
      <c r="D14" s="16" t="str">
        <f t="shared" si="3"/>
        <v>vis</v>
      </c>
      <c r="E14" s="45">
        <f>VLOOKUP(C14,Active!C$21:E$973,3,FALSE)</f>
        <v>28574.999846540795</v>
      </c>
      <c r="F14" s="6" t="s">
        <v>70</v>
      </c>
      <c r="G14" s="16" t="str">
        <f t="shared" si="4"/>
        <v>49396.337</v>
      </c>
      <c r="H14" s="18">
        <f t="shared" si="5"/>
        <v>-5887</v>
      </c>
      <c r="I14" s="46" t="s">
        <v>87</v>
      </c>
      <c r="J14" s="47" t="s">
        <v>88</v>
      </c>
      <c r="K14" s="46">
        <v>-5887</v>
      </c>
      <c r="L14" s="46" t="s">
        <v>89</v>
      </c>
      <c r="M14" s="47" t="s">
        <v>75</v>
      </c>
      <c r="N14" s="47" t="s">
        <v>76</v>
      </c>
      <c r="O14" s="48" t="s">
        <v>77</v>
      </c>
      <c r="P14" s="48" t="s">
        <v>90</v>
      </c>
    </row>
    <row r="15" spans="1:16" ht="12.75" customHeight="1" thickBot="1">
      <c r="A15" s="18" t="str">
        <f t="shared" si="0"/>
        <v> BBS 110 </v>
      </c>
      <c r="B15" s="6" t="str">
        <f t="shared" si="1"/>
        <v>I</v>
      </c>
      <c r="C15" s="18">
        <f t="shared" si="2"/>
        <v>49685.492</v>
      </c>
      <c r="D15" s="16" t="str">
        <f t="shared" si="3"/>
        <v>vis</v>
      </c>
      <c r="E15" s="45">
        <f>VLOOKUP(C15,Active!C$21:E$973,3,FALSE)</f>
        <v>28916.98560714196</v>
      </c>
      <c r="F15" s="6" t="s">
        <v>70</v>
      </c>
      <c r="G15" s="16" t="str">
        <f t="shared" si="4"/>
        <v>49685.492</v>
      </c>
      <c r="H15" s="18">
        <f t="shared" si="5"/>
        <v>-5545</v>
      </c>
      <c r="I15" s="46" t="s">
        <v>91</v>
      </c>
      <c r="J15" s="47" t="s">
        <v>92</v>
      </c>
      <c r="K15" s="46">
        <v>-5545</v>
      </c>
      <c r="L15" s="46" t="s">
        <v>93</v>
      </c>
      <c r="M15" s="47" t="s">
        <v>75</v>
      </c>
      <c r="N15" s="47" t="s">
        <v>76</v>
      </c>
      <c r="O15" s="48" t="s">
        <v>77</v>
      </c>
      <c r="P15" s="48" t="s">
        <v>94</v>
      </c>
    </row>
    <row r="16" spans="1:16" ht="12.75" customHeight="1" thickBot="1">
      <c r="A16" s="18" t="str">
        <f t="shared" si="0"/>
        <v>BAVM 178 </v>
      </c>
      <c r="B16" s="6" t="str">
        <f t="shared" si="1"/>
        <v>I</v>
      </c>
      <c r="C16" s="18">
        <f t="shared" si="2"/>
        <v>53768.5081</v>
      </c>
      <c r="D16" s="16" t="str">
        <f t="shared" si="3"/>
        <v>vis</v>
      </c>
      <c r="E16" s="45">
        <f>VLOOKUP(C16,Active!C$21:E$973,3,FALSE)</f>
        <v>33745.99899617313</v>
      </c>
      <c r="F16" s="6" t="s">
        <v>70</v>
      </c>
      <c r="G16" s="16" t="str">
        <f t="shared" si="4"/>
        <v>53768.5081</v>
      </c>
      <c r="H16" s="18">
        <f t="shared" si="5"/>
        <v>-716</v>
      </c>
      <c r="I16" s="46" t="s">
        <v>95</v>
      </c>
      <c r="J16" s="47" t="s">
        <v>96</v>
      </c>
      <c r="K16" s="46">
        <v>-716</v>
      </c>
      <c r="L16" s="46" t="s">
        <v>97</v>
      </c>
      <c r="M16" s="47" t="s">
        <v>98</v>
      </c>
      <c r="N16" s="47" t="s">
        <v>99</v>
      </c>
      <c r="O16" s="48" t="s">
        <v>100</v>
      </c>
      <c r="P16" s="49" t="s">
        <v>101</v>
      </c>
    </row>
    <row r="17" spans="1:16" ht="12.75" customHeight="1" thickBot="1">
      <c r="A17" s="18" t="str">
        <f t="shared" si="0"/>
        <v>IBVS 5894 </v>
      </c>
      <c r="B17" s="6" t="str">
        <f t="shared" si="1"/>
        <v>I</v>
      </c>
      <c r="C17" s="18">
        <f t="shared" si="2"/>
        <v>54889.6617</v>
      </c>
      <c r="D17" s="16" t="str">
        <f t="shared" si="3"/>
        <v>vis</v>
      </c>
      <c r="E17" s="45">
        <f>VLOOKUP(C17,Active!C$21:E$973,3,FALSE)</f>
        <v>35071.99566455768</v>
      </c>
      <c r="F17" s="6" t="s">
        <v>70</v>
      </c>
      <c r="G17" s="16" t="str">
        <f t="shared" si="4"/>
        <v>54889.6617</v>
      </c>
      <c r="H17" s="18">
        <f t="shared" si="5"/>
        <v>610</v>
      </c>
      <c r="I17" s="46" t="s">
        <v>102</v>
      </c>
      <c r="J17" s="47" t="s">
        <v>103</v>
      </c>
      <c r="K17" s="46" t="s">
        <v>104</v>
      </c>
      <c r="L17" s="46" t="s">
        <v>105</v>
      </c>
      <c r="M17" s="47" t="s">
        <v>98</v>
      </c>
      <c r="N17" s="47" t="s">
        <v>70</v>
      </c>
      <c r="O17" s="48" t="s">
        <v>106</v>
      </c>
      <c r="P17" s="49" t="s">
        <v>107</v>
      </c>
    </row>
    <row r="18" spans="1:16" ht="12.75" customHeight="1" thickBot="1">
      <c r="A18" s="18" t="str">
        <f t="shared" si="0"/>
        <v>OEJV 0160 </v>
      </c>
      <c r="B18" s="6" t="str">
        <f t="shared" si="1"/>
        <v>I</v>
      </c>
      <c r="C18" s="18">
        <f t="shared" si="2"/>
        <v>56013.35458</v>
      </c>
      <c r="D18" s="16" t="str">
        <f t="shared" si="3"/>
        <v>vis</v>
      </c>
      <c r="E18" s="45">
        <f>VLOOKUP(C18,Active!C$21:E$973,3,FALSE)</f>
        <v>36400.995558209586</v>
      </c>
      <c r="F18" s="6" t="s">
        <v>70</v>
      </c>
      <c r="G18" s="16" t="str">
        <f t="shared" si="4"/>
        <v>56013.35458</v>
      </c>
      <c r="H18" s="18">
        <f t="shared" si="5"/>
        <v>1939</v>
      </c>
      <c r="I18" s="46" t="s">
        <v>108</v>
      </c>
      <c r="J18" s="47" t="s">
        <v>109</v>
      </c>
      <c r="K18" s="46" t="s">
        <v>110</v>
      </c>
      <c r="L18" s="46" t="s">
        <v>111</v>
      </c>
      <c r="M18" s="47" t="s">
        <v>98</v>
      </c>
      <c r="N18" s="47" t="s">
        <v>112</v>
      </c>
      <c r="O18" s="48" t="s">
        <v>113</v>
      </c>
      <c r="P18" s="49" t="s">
        <v>114</v>
      </c>
    </row>
    <row r="19" spans="1:16" ht="12.75" customHeight="1" thickBot="1">
      <c r="A19" s="18" t="str">
        <f t="shared" si="0"/>
        <v>OEJV 0160 </v>
      </c>
      <c r="B19" s="6" t="str">
        <f t="shared" si="1"/>
        <v>I</v>
      </c>
      <c r="C19" s="18">
        <f t="shared" si="2"/>
        <v>56013.35526</v>
      </c>
      <c r="D19" s="16" t="str">
        <f t="shared" si="3"/>
        <v>vis</v>
      </c>
      <c r="E19" s="45">
        <f>VLOOKUP(C19,Active!C$21:E$973,3,FALSE)</f>
        <v>36400.99636245062</v>
      </c>
      <c r="F19" s="6" t="s">
        <v>70</v>
      </c>
      <c r="G19" s="16" t="str">
        <f t="shared" si="4"/>
        <v>56013.35526</v>
      </c>
      <c r="H19" s="18">
        <f t="shared" si="5"/>
        <v>1939</v>
      </c>
      <c r="I19" s="46" t="s">
        <v>115</v>
      </c>
      <c r="J19" s="47" t="s">
        <v>116</v>
      </c>
      <c r="K19" s="46" t="s">
        <v>110</v>
      </c>
      <c r="L19" s="46" t="s">
        <v>117</v>
      </c>
      <c r="M19" s="47" t="s">
        <v>98</v>
      </c>
      <c r="N19" s="47" t="s">
        <v>70</v>
      </c>
      <c r="O19" s="48" t="s">
        <v>113</v>
      </c>
      <c r="P19" s="49" t="s">
        <v>114</v>
      </c>
    </row>
    <row r="20" spans="1:16" ht="12.75" customHeight="1" thickBot="1">
      <c r="A20" s="18" t="str">
        <f t="shared" si="0"/>
        <v>OEJV 0155 </v>
      </c>
      <c r="B20" s="6" t="str">
        <f t="shared" si="1"/>
        <v>I</v>
      </c>
      <c r="C20" s="18">
        <f t="shared" si="2"/>
        <v>56252.639</v>
      </c>
      <c r="D20" s="16" t="str">
        <f t="shared" si="3"/>
        <v>vis</v>
      </c>
      <c r="E20" s="45">
        <f>VLOOKUP(C20,Active!C$21:E$973,3,FALSE)</f>
        <v>36683.999014396446</v>
      </c>
      <c r="F20" s="6" t="s">
        <v>70</v>
      </c>
      <c r="G20" s="16" t="str">
        <f t="shared" si="4"/>
        <v>56252.6390</v>
      </c>
      <c r="H20" s="18">
        <f t="shared" si="5"/>
        <v>2222</v>
      </c>
      <c r="I20" s="46" t="s">
        <v>118</v>
      </c>
      <c r="J20" s="47" t="s">
        <v>119</v>
      </c>
      <c r="K20" s="46" t="s">
        <v>120</v>
      </c>
      <c r="L20" s="46" t="s">
        <v>121</v>
      </c>
      <c r="M20" s="47" t="s">
        <v>98</v>
      </c>
      <c r="N20" s="47" t="s">
        <v>122</v>
      </c>
      <c r="O20" s="48" t="s">
        <v>77</v>
      </c>
      <c r="P20" s="49" t="s">
        <v>123</v>
      </c>
    </row>
    <row r="21" spans="1:16" ht="12.75" customHeight="1" thickBot="1">
      <c r="A21" s="18" t="str">
        <f t="shared" si="0"/>
        <v>BAVM 238 </v>
      </c>
      <c r="B21" s="6" t="str">
        <f t="shared" si="1"/>
        <v>I</v>
      </c>
      <c r="C21" s="18">
        <f t="shared" si="2"/>
        <v>56713.4472</v>
      </c>
      <c r="D21" s="16" t="str">
        <f t="shared" si="3"/>
        <v>vis</v>
      </c>
      <c r="E21" s="45">
        <f>VLOOKUP(C21,Active!C$21:E$973,3,FALSE)</f>
        <v>37229.00028626881</v>
      </c>
      <c r="F21" s="6" t="s">
        <v>70</v>
      </c>
      <c r="G21" s="16" t="str">
        <f t="shared" si="4"/>
        <v>56713.4472</v>
      </c>
      <c r="H21" s="18">
        <f t="shared" si="5"/>
        <v>2767</v>
      </c>
      <c r="I21" s="46" t="s">
        <v>124</v>
      </c>
      <c r="J21" s="47" t="s">
        <v>125</v>
      </c>
      <c r="K21" s="46" t="s">
        <v>126</v>
      </c>
      <c r="L21" s="46" t="s">
        <v>127</v>
      </c>
      <c r="M21" s="47" t="s">
        <v>98</v>
      </c>
      <c r="N21" s="47" t="s">
        <v>99</v>
      </c>
      <c r="O21" s="48" t="s">
        <v>128</v>
      </c>
      <c r="P21" s="49" t="s">
        <v>129</v>
      </c>
    </row>
    <row r="22" spans="2:6" ht="12.75">
      <c r="B22" s="6"/>
      <c r="E22" s="45"/>
      <c r="F22" s="6"/>
    </row>
    <row r="23" spans="2:6" ht="12.75">
      <c r="B23" s="6"/>
      <c r="E23" s="45"/>
      <c r="F23" s="6"/>
    </row>
    <row r="24" spans="2:6" ht="12.75">
      <c r="B24" s="6"/>
      <c r="E24" s="45"/>
      <c r="F24" s="6"/>
    </row>
    <row r="25" spans="2:6" ht="12.75">
      <c r="B25" s="6"/>
      <c r="E25" s="45"/>
      <c r="F25" s="6"/>
    </row>
    <row r="26" spans="2:6" ht="12.75">
      <c r="B26" s="6"/>
      <c r="E26" s="45"/>
      <c r="F26" s="6"/>
    </row>
    <row r="27" spans="2:6" ht="12.75">
      <c r="B27" s="6"/>
      <c r="E27" s="45"/>
      <c r="F27" s="6"/>
    </row>
    <row r="28" spans="2:6" ht="12.75">
      <c r="B28" s="6"/>
      <c r="E28" s="45"/>
      <c r="F28" s="6"/>
    </row>
    <row r="29" spans="2:6" ht="12.75">
      <c r="B29" s="6"/>
      <c r="E29" s="45"/>
      <c r="F29" s="6"/>
    </row>
    <row r="30" spans="2:6" ht="12.75">
      <c r="B30" s="6"/>
      <c r="E30" s="45"/>
      <c r="F30" s="6"/>
    </row>
    <row r="31" spans="2:6" ht="12.75">
      <c r="B31" s="6"/>
      <c r="E31" s="45"/>
      <c r="F31" s="6"/>
    </row>
    <row r="32" spans="2:6" ht="12.75">
      <c r="B32" s="6"/>
      <c r="E32" s="45"/>
      <c r="F32" s="6"/>
    </row>
    <row r="33" spans="2:6" ht="12.75">
      <c r="B33" s="6"/>
      <c r="E33" s="45"/>
      <c r="F33" s="6"/>
    </row>
    <row r="34" spans="2:6" ht="12.75">
      <c r="B34" s="6"/>
      <c r="E34" s="45"/>
      <c r="F34" s="6"/>
    </row>
    <row r="35" spans="2:6" ht="12.75">
      <c r="B35" s="6"/>
      <c r="E35" s="45"/>
      <c r="F35" s="6"/>
    </row>
    <row r="36" spans="2:6" ht="12.75">
      <c r="B36" s="6"/>
      <c r="E36" s="45"/>
      <c r="F36" s="6"/>
    </row>
    <row r="37" spans="2:6" ht="12.75">
      <c r="B37" s="6"/>
      <c r="E37" s="45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</sheetData>
  <sheetProtection/>
  <hyperlinks>
    <hyperlink ref="P16" r:id="rId1" display="http://www.bav-astro.de/sfs/BAVM_link.php?BAVMnr=178"/>
    <hyperlink ref="P17" r:id="rId2" display="http://www.konkoly.hu/cgi-bin/IBVS?5894"/>
    <hyperlink ref="P18" r:id="rId3" display="http://var.astro.cz/oejv/issues/oejv0160.pdf"/>
    <hyperlink ref="P19" r:id="rId4" display="http://var.astro.cz/oejv/issues/oejv0160.pdf"/>
    <hyperlink ref="P20" r:id="rId5" display="http://var.astro.cz/oejv/issues/oejv0155.pdf"/>
    <hyperlink ref="P21" r:id="rId6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