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15" windowWidth="8640" windowHeight="13185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<sst xmlns="http://schemas.openxmlformats.org/spreadsheetml/2006/main" count="140" uniqueCount="85">
  <si>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</si>
  <si>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</si>
  <si>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</si>
  <si>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</si>
  <si>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</si>
  <si>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</si>
  <si>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</si>
  <si>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</si>
  <si>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</si>
  <si>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</si>
  <si>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</si>
  <si>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</si>
  <si>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</si>
  <si>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</si>
  <si>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</si>
  <si>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</si>
  <si>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</si>
  <si>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</si>
  <si>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</si>
  <si>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</si>
  <si>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</si>
  <si>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</si>
  <si>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</si>
  <si>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</si>
  <si>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</si>
  <si>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</si>
  <si>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</si>
  <si>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</si>
  <si>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</si>
  <si>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</si>
  <si>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</si>
  <si>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UY CMi</t>
  </si>
  <si>
    <t>Paschke A</t>
  </si>
  <si>
    <t>BBSAG Bull.106</t>
  </si>
  <si>
    <t>B</t>
  </si>
  <si>
    <t>Pashke</t>
  </si>
  <si>
    <t>BBSAG</t>
  </si>
  <si>
    <t>See page B</t>
  </si>
  <si>
    <t># of data points:</t>
  </si>
  <si>
    <t>UY CMi / ??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</si>
  <si>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</si>
  <si>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</si>
  <si>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</si>
  <si>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</si>
  <si>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</si>
  <si>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</si>
  <si>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</si>
  <si>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</si>
  <si>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EA</t>
  </si>
  <si>
    <t>OEJV 116</t>
  </si>
  <si>
    <t>I</t>
  </si>
  <si>
    <t>OEJV 0142</t>
  </si>
  <si>
    <t>OEJV 0147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</si>
  <si>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</si>
  <si>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</si>
  <si>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</si>
  <si>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</si>
  <si>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</si>
  <si>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</si>
  <si>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</si>
  <si>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</si>
  <si>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</si>
  <si>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</si>
  <si>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</si>
  <si>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2449391.68 </t>
  </si>
  <si>
    <t> 08.02.1994 04:19 </t>
  </si>
  <si>
    <t> -1.59 </t>
  </si>
  <si>
    <t>E </t>
  </si>
  <si>
    <t>?</t>
  </si>
  <si>
    <t> A.Paschke </t>
  </si>
  <si>
    <t> BBS 106 </t>
  </si>
  <si>
    <t>2452681.475 </t>
  </si>
  <si>
    <t> 10.02.2003 23:24 </t>
  </si>
  <si>
    <t> -0.273 </t>
  </si>
  <si>
    <t>C </t>
  </si>
  <si>
    <t>o</t>
  </si>
  <si>
    <t>OEJV 0116 </t>
  </si>
  <si>
    <t>2455578.58 </t>
  </si>
  <si>
    <t> 17.01.2011 01:55 </t>
  </si>
  <si>
    <t> -0.05 </t>
  </si>
  <si>
    <t>OEJV 0142 </t>
  </si>
  <si>
    <t>2455943.465 </t>
  </si>
  <si>
    <t> 16.01.2012 23:09 </t>
  </si>
  <si>
    <t> -0.060 </t>
  </si>
  <si>
    <t>OEJV 0147 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</si>
</sst>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22" fontId="10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5" fillId="33" borderId="0" xfId="0" applyFont="1" applyFill="1" applyAlignment="1">
      <alignment/>
    </xf>
    <xf numFmtId="176" fontId="5" fillId="0" borderId="0" xfId="0" applyNumberFormat="1" applyFont="1" applyFill="1" applyBorder="1" applyAlignment="1" applyProtection="1">
      <alignment horizontal="left" vertical="top"/>
      <protection/>
    </xf>
    <xf numFmtId="0" fontId="10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8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5" borderId="17" xfId="0" applyFont="1" applyFill="1" applyBorder="1" applyAlignment="1">
      <alignment horizontal="left" vertical="top" wrapText="1" indent="1"/>
    </xf>
    <xf numFmtId="0" fontId="5" fillId="35" borderId="17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right" vertical="top" wrapText="1"/>
    </xf>
    <xf numFmtId="0" fontId="18" fillId="35" borderId="17" xfId="54" applyFill="1" applyBorder="1" applyAlignment="1" applyProtection="1">
      <alignment horizontal="righ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UY CMi - O-C Diagr.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055"/>
          <c:w val="0.8967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Active!$H$21:$H$993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Active!$I$21:$I$993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Active!$J$21:$J$993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Active!$K$21:$K$993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Active!$L$21:$L$993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Active!$M$21:$M$993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Active!$N$21:$N$993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Active!$F$21:$F$993</c:f>
              <c:numCache/>
            </c:numRef>
          </c:xVal>
          <c:yVal>
            <c:numRef>
              <c:f>Active!$O$21:$O$993</c:f>
              <c:numCache/>
            </c:numRef>
          </c:yVal>
          <c:smooth val="0"/>
        </c:ser>
        <c:axId val="37274760"/>
        <c:axId val="14809833"/>
      </c:scatterChart>
      <c:valAx>
        <c:axId val="3727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9833"/>
        <c:crosses val="autoZero"/>
        <c:crossBetween val="midCat"/>
        <c:dispUnits/>
      </c:valAx>
      <c:valAx>
        <c:axId val="14809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747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925"/>
          <c:y val="0.9305"/>
          <c:w val="0.79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UY CMi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58310102"/>
        <c:axId val="19833823"/>
      </c:scatterChart>
      <c:valAx>
        <c:axId val="5831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3823"/>
        <c:crosses val="autoZero"/>
        <c:crossBetween val="midCat"/>
        <c:dispUnits/>
      </c:valAx>
      <c:valAx>
        <c:axId val="1983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010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15</xdr:col>
      <xdr:colOff>123825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81525" y="0"/>
        <a:ext cx="5124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116.pdf" TargetMode="External" /><Relationship Id="rId2" Type="http://schemas.openxmlformats.org/officeDocument/2006/relationships/hyperlink" Target="http://var.astro.cz/oejv/issues/oejv0142.pdf" TargetMode="External" /><Relationship Id="rId3" Type="http://schemas.openxmlformats.org/officeDocument/2006/relationships/hyperlink" Target="http://var.astro.cz/oejv/issues/oejv014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D2476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39</v>
      </c>
      <c r="C1" s="12"/>
    </row>
    <row r="2" spans="1:3" ht="12.75">
      <c r="A2" t="s">
        <v>27</v>
      </c>
      <c r="B2" t="s">
        <v>48</v>
      </c>
      <c r="C2" s="12"/>
    </row>
    <row r="4" spans="1:4" ht="14.25" thickBot="1" thickTop="1">
      <c r="A4" s="8" t="s">
        <v>0</v>
      </c>
      <c r="C4" s="3">
        <v>25532.63</v>
      </c>
      <c r="D4" s="4">
        <v>22.242</v>
      </c>
    </row>
    <row r="5" spans="1:4" ht="13.5" thickTop="1">
      <c r="A5" s="14" t="s">
        <v>40</v>
      </c>
      <c r="B5" s="15"/>
      <c r="C5" s="16">
        <v>-9.5</v>
      </c>
      <c r="D5" s="15" t="s">
        <v>41</v>
      </c>
    </row>
    <row r="6" ht="12.75">
      <c r="A6" s="8" t="s">
        <v>1</v>
      </c>
    </row>
    <row r="7" spans="1:3" ht="12.75">
      <c r="A7" t="s">
        <v>2</v>
      </c>
      <c r="C7">
        <f>+C4</f>
        <v>25532.63</v>
      </c>
    </row>
    <row r="8" spans="1:3" ht="12.75">
      <c r="A8" t="s">
        <v>3</v>
      </c>
      <c r="C8">
        <f>+D4</f>
        <v>22.242</v>
      </c>
    </row>
    <row r="9" spans="1:4" ht="12.75">
      <c r="A9" s="29" t="s">
        <v>47</v>
      </c>
      <c r="B9" s="30">
        <v>21</v>
      </c>
      <c r="C9" s="18" t="str">
        <f>"F"&amp;B9</f>
        <v>F21</v>
      </c>
      <c r="D9" s="19" t="str">
        <f>"G"&amp;B9</f>
        <v>G21</v>
      </c>
    </row>
    <row r="10" spans="1:5" ht="13.5" thickBot="1">
      <c r="A10" s="15"/>
      <c r="B10" s="15"/>
      <c r="C10" s="7" t="s">
        <v>22</v>
      </c>
      <c r="D10" s="7" t="s">
        <v>23</v>
      </c>
      <c r="E10" s="15"/>
    </row>
    <row r="11" spans="1:5" ht="12.75">
      <c r="A11" s="15" t="s">
        <v>16</v>
      </c>
      <c r="B11" s="15"/>
      <c r="C11" s="17">
        <f ca="1">INTERCEPT(INDIRECT($D$9):G992,INDIRECT($C$9):F992)</f>
        <v>0.20773739622561038</v>
      </c>
      <c r="D11" s="6"/>
      <c r="E11" s="15"/>
    </row>
    <row r="12" spans="1:5" ht="12.75">
      <c r="A12" s="15" t="s">
        <v>17</v>
      </c>
      <c r="B12" s="15"/>
      <c r="C12" s="17">
        <f ca="1">SLOPE(INDIRECT($D$9):G992,INDIRECT($C$9):F992)</f>
        <v>0.013542034923543467</v>
      </c>
      <c r="D12" s="6"/>
      <c r="E12" s="15"/>
    </row>
    <row r="13" spans="1:3" ht="12.75">
      <c r="A13" s="15" t="s">
        <v>21</v>
      </c>
      <c r="B13" s="15"/>
      <c r="C13" s="6" t="s">
        <v>14</v>
      </c>
    </row>
    <row r="14" spans="1:3" ht="12.75">
      <c r="A14" s="15"/>
      <c r="B14" s="15"/>
      <c r="C14" s="15"/>
    </row>
    <row r="15" spans="1:6" ht="12.75">
      <c r="A15" s="22" t="s">
        <v>18</v>
      </c>
      <c r="B15" s="15"/>
      <c r="C15" s="23">
        <f>(C7+C11)+(C8+C12)*INT(MAX(F21:F3533))</f>
        <v>55933.90815710179</v>
      </c>
      <c r="E15" s="20" t="s">
        <v>42</v>
      </c>
      <c r="F15" s="16">
        <v>1</v>
      </c>
    </row>
    <row r="16" spans="1:6" ht="12.75">
      <c r="A16" s="24" t="s">
        <v>4</v>
      </c>
      <c r="B16" s="15"/>
      <c r="C16" s="25">
        <f>+C8+C12</f>
        <v>22.255542034923543</v>
      </c>
      <c r="E16" s="20" t="s">
        <v>43</v>
      </c>
      <c r="F16" s="21">
        <f ca="1">NOW()+15018.5+$C$5/24</f>
        <v>59895.85398206018</v>
      </c>
    </row>
    <row r="17" spans="1:6" ht="13.5" thickBot="1">
      <c r="A17" s="20" t="s">
        <v>38</v>
      </c>
      <c r="B17" s="15"/>
      <c r="C17" s="15">
        <f>COUNT(C21:C2191)</f>
        <v>6</v>
      </c>
      <c r="E17" s="20" t="s">
        <v>44</v>
      </c>
      <c r="F17" s="21">
        <f>ROUND(2*(F16-$C$7)/$C$8,0)/2+F15</f>
        <v>1546</v>
      </c>
    </row>
    <row r="18" spans="1:6" ht="14.25" thickBot="1" thickTop="1">
      <c r="A18" s="24" t="s">
        <v>5</v>
      </c>
      <c r="B18" s="15"/>
      <c r="C18" s="27">
        <f>+C15</f>
        <v>55933.90815710179</v>
      </c>
      <c r="D18" s="28">
        <f>+C16</f>
        <v>22.255542034923543</v>
      </c>
      <c r="E18" s="20" t="s">
        <v>45</v>
      </c>
      <c r="F18" s="19">
        <f>ROUND(2*(F16-$C$15)/$C$16,0)/2+F15</f>
        <v>179</v>
      </c>
    </row>
    <row r="19" spans="5:6" ht="13.5" thickTop="1">
      <c r="E19" s="20" t="s">
        <v>46</v>
      </c>
      <c r="F19" s="26">
        <f>+$C$15+$C$16*F18-15018.5-$C$5/24</f>
        <v>44899.54601468644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60</v>
      </c>
      <c r="I20" s="10" t="s">
        <v>63</v>
      </c>
      <c r="J20" s="10" t="s">
        <v>57</v>
      </c>
      <c r="K20" s="10" t="s">
        <v>55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s="32" t="s">
        <v>12</v>
      </c>
      <c r="B21" s="32"/>
      <c r="C21" s="33">
        <v>25532.63</v>
      </c>
      <c r="D21" s="33" t="s">
        <v>14</v>
      </c>
      <c r="E21" s="32">
        <f aca="true" t="shared" si="0" ref="E21:E26">+(C21-C$7)/C$8</f>
        <v>0</v>
      </c>
      <c r="F21" s="32">
        <f>ROUND(2*E21,0)/2</f>
        <v>0</v>
      </c>
      <c r="G21" s="32">
        <f aca="true" t="shared" si="1" ref="G21:G26">+C21-(C$7+F21*C$8)</f>
        <v>0</v>
      </c>
      <c r="H21" s="32">
        <f>+G21</f>
        <v>0</v>
      </c>
      <c r="I21" s="32"/>
      <c r="O21">
        <f aca="true" t="shared" si="2" ref="O21:O26">+C$11+C$12*F21</f>
        <v>0.20773739622561038</v>
      </c>
      <c r="Q21" s="2">
        <f aca="true" t="shared" si="3" ref="Q21:Q26">+C21-15018.5</f>
        <v>10514.130000000001</v>
      </c>
    </row>
    <row r="22" spans="1:30" ht="12.75">
      <c r="A22" s="40" t="s">
        <v>33</v>
      </c>
      <c r="B22" s="40"/>
      <c r="C22" s="31">
        <v>49391.68</v>
      </c>
      <c r="D22" s="31"/>
      <c r="E22" s="32">
        <f t="shared" si="0"/>
        <v>1072.7025447351857</v>
      </c>
      <c r="F22" s="36">
        <f>ROUND(2*E22,0)/2-0.5</f>
        <v>1072</v>
      </c>
      <c r="G22" s="32">
        <f t="shared" si="1"/>
        <v>15.625999999996566</v>
      </c>
      <c r="H22" s="32"/>
      <c r="I22" s="32">
        <f>+G22</f>
        <v>15.625999999996566</v>
      </c>
      <c r="O22">
        <f t="shared" si="2"/>
        <v>14.724798834264208</v>
      </c>
      <c r="Q22" s="2">
        <f t="shared" si="3"/>
        <v>34373.18</v>
      </c>
      <c r="AA22">
        <v>4</v>
      </c>
      <c r="AB22" t="s">
        <v>32</v>
      </c>
      <c r="AD22" t="s">
        <v>34</v>
      </c>
    </row>
    <row r="23" spans="1:17" ht="12.75">
      <c r="A23" s="40" t="s">
        <v>35</v>
      </c>
      <c r="B23" s="40"/>
      <c r="C23" s="31">
        <v>50870.63</v>
      </c>
      <c r="D23" s="31"/>
      <c r="E23" s="32">
        <f t="shared" si="0"/>
        <v>1139.1961154572427</v>
      </c>
      <c r="F23" s="36">
        <f>ROUND(2*E23,0)/2-0.5</f>
        <v>1138.5</v>
      </c>
      <c r="G23" s="32">
        <f t="shared" si="1"/>
        <v>15.483000000000175</v>
      </c>
      <c r="H23" s="32"/>
      <c r="I23" s="32">
        <f>+G23</f>
        <v>15.483000000000175</v>
      </c>
      <c r="O23">
        <f t="shared" si="2"/>
        <v>15.625344156679848</v>
      </c>
      <c r="Q23" s="2">
        <f t="shared" si="3"/>
        <v>35852.13</v>
      </c>
    </row>
    <row r="24" spans="1:17" ht="12.75">
      <c r="A24" s="41" t="s">
        <v>49</v>
      </c>
      <c r="B24" s="42" t="s">
        <v>50</v>
      </c>
      <c r="C24" s="37">
        <v>52651.475</v>
      </c>
      <c r="D24" s="37">
        <v>0.02</v>
      </c>
      <c r="E24" s="32">
        <f t="shared" si="0"/>
        <v>1219.2628810358779</v>
      </c>
      <c r="F24" s="39">
        <f>ROUND(2*E24,0)/2-1</f>
        <v>1218.5</v>
      </c>
      <c r="G24" s="32">
        <f t="shared" si="1"/>
        <v>16.968000000000757</v>
      </c>
      <c r="H24" s="32"/>
      <c r="I24" s="32">
        <f>+G24</f>
        <v>16.968000000000757</v>
      </c>
      <c r="O24">
        <f t="shared" si="2"/>
        <v>16.708706950563325</v>
      </c>
      <c r="Q24" s="2">
        <f t="shared" si="3"/>
        <v>37632.975</v>
      </c>
    </row>
    <row r="25" spans="1:17" ht="12.75">
      <c r="A25" s="43" t="s">
        <v>51</v>
      </c>
      <c r="B25" s="44" t="s">
        <v>50</v>
      </c>
      <c r="C25" s="43">
        <v>55578.58</v>
      </c>
      <c r="D25" s="43">
        <v>0.01</v>
      </c>
      <c r="E25" s="32">
        <f t="shared" si="0"/>
        <v>1350.8654797230465</v>
      </c>
      <c r="F25" s="39">
        <f>ROUND(2*E25,0)/2-1</f>
        <v>1350</v>
      </c>
      <c r="G25" s="32">
        <f t="shared" si="1"/>
        <v>19.25</v>
      </c>
      <c r="H25" s="32"/>
      <c r="I25" s="32">
        <f>+G25</f>
        <v>19.25</v>
      </c>
      <c r="O25">
        <f t="shared" si="2"/>
        <v>18.48948454300929</v>
      </c>
      <c r="Q25" s="2">
        <f t="shared" si="3"/>
        <v>40560.08</v>
      </c>
    </row>
    <row r="26" spans="1:17" ht="12.75">
      <c r="A26" s="34" t="s">
        <v>52</v>
      </c>
      <c r="B26" s="45" t="s">
        <v>50</v>
      </c>
      <c r="C26" s="46">
        <v>55943.465</v>
      </c>
      <c r="D26" s="46">
        <v>0.01</v>
      </c>
      <c r="E26" s="32">
        <f t="shared" si="0"/>
        <v>1367.2707040733744</v>
      </c>
      <c r="F26" s="39">
        <f>ROUND(2*E26,0)/2-1</f>
        <v>1366.5</v>
      </c>
      <c r="G26" s="32">
        <f t="shared" si="1"/>
        <v>17.14199999999255</v>
      </c>
      <c r="H26" s="32"/>
      <c r="I26" s="32">
        <f>+G26</f>
        <v>17.14199999999255</v>
      </c>
      <c r="O26">
        <f t="shared" si="2"/>
        <v>18.71292811924776</v>
      </c>
      <c r="Q26" s="2">
        <f t="shared" si="3"/>
        <v>40924.965</v>
      </c>
    </row>
    <row r="27" spans="3:17" ht="12.75">
      <c r="C27" s="13"/>
      <c r="D27" s="13"/>
      <c r="Q27" s="2"/>
    </row>
    <row r="28" spans="3:4" ht="12.75">
      <c r="C28" s="13"/>
      <c r="D28" s="13"/>
    </row>
    <row r="29" spans="3:4" ht="12.75">
      <c r="C29" s="13"/>
      <c r="D29" s="13"/>
    </row>
    <row r="30" spans="3:4" ht="12.75">
      <c r="C30" s="13"/>
      <c r="D30" s="13"/>
    </row>
    <row r="31" spans="3:4" ht="12.75">
      <c r="C31" s="13"/>
      <c r="D31" s="13"/>
    </row>
    <row r="32" spans="3:4" ht="12.75">
      <c r="C32" s="13"/>
      <c r="D32" s="13"/>
    </row>
    <row r="33" spans="3:4" ht="12.75">
      <c r="C33" s="13"/>
      <c r="D33" s="13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  <row r="2364" spans="3:4" ht="12.75">
      <c r="C2364" s="13"/>
      <c r="D2364" s="13"/>
    </row>
    <row r="2365" spans="3:4" ht="12.75">
      <c r="C2365" s="13"/>
      <c r="D2365" s="13"/>
    </row>
    <row r="2366" spans="3:4" ht="12.75">
      <c r="C2366" s="13"/>
      <c r="D2366" s="13"/>
    </row>
    <row r="2367" spans="3:4" ht="12.75">
      <c r="C2367" s="13"/>
      <c r="D2367" s="13"/>
    </row>
    <row r="2368" spans="3:4" ht="12.75">
      <c r="C2368" s="13"/>
      <c r="D2368" s="13"/>
    </row>
    <row r="2369" spans="3:4" ht="12.75">
      <c r="C2369" s="13"/>
      <c r="D2369" s="13"/>
    </row>
    <row r="2370" spans="3:4" ht="12.75">
      <c r="C2370" s="13"/>
      <c r="D2370" s="13"/>
    </row>
    <row r="2371" spans="3:4" ht="12.75">
      <c r="C2371" s="13"/>
      <c r="D2371" s="13"/>
    </row>
    <row r="2372" spans="3:4" ht="12.75">
      <c r="C2372" s="13"/>
      <c r="D2372" s="13"/>
    </row>
    <row r="2373" spans="3:4" ht="12.75">
      <c r="C2373" s="13"/>
      <c r="D2373" s="13"/>
    </row>
    <row r="2374" spans="3:4" ht="12.75">
      <c r="C2374" s="13"/>
      <c r="D2374" s="13"/>
    </row>
    <row r="2375" spans="3:4" ht="12.75">
      <c r="C2375" s="13"/>
      <c r="D2375" s="13"/>
    </row>
    <row r="2376" spans="3:4" ht="12.75">
      <c r="C2376" s="13"/>
      <c r="D2376" s="13"/>
    </row>
    <row r="2377" spans="3:4" ht="12.75">
      <c r="C2377" s="13"/>
      <c r="D2377" s="13"/>
    </row>
    <row r="2378" spans="3:4" ht="12.75">
      <c r="C2378" s="13"/>
      <c r="D2378" s="13"/>
    </row>
    <row r="2379" spans="3:4" ht="12.75">
      <c r="C2379" s="13"/>
      <c r="D2379" s="13"/>
    </row>
    <row r="2380" spans="3:4" ht="12.75">
      <c r="C2380" s="13"/>
      <c r="D2380" s="13"/>
    </row>
    <row r="2381" spans="3:4" ht="12.75">
      <c r="C2381" s="13"/>
      <c r="D2381" s="13"/>
    </row>
    <row r="2382" spans="3:4" ht="12.75">
      <c r="C2382" s="13"/>
      <c r="D2382" s="13"/>
    </row>
    <row r="2383" spans="3:4" ht="12.75">
      <c r="C2383" s="13"/>
      <c r="D2383" s="13"/>
    </row>
    <row r="2384" spans="3:4" ht="12.75">
      <c r="C2384" s="13"/>
      <c r="D2384" s="13"/>
    </row>
    <row r="2385" spans="3:4" ht="12.75">
      <c r="C2385" s="13"/>
      <c r="D2385" s="13"/>
    </row>
    <row r="2386" spans="3:4" ht="12.75">
      <c r="C2386" s="13"/>
      <c r="D2386" s="13"/>
    </row>
    <row r="2387" spans="3:4" ht="12.75">
      <c r="C2387" s="13"/>
      <c r="D2387" s="13"/>
    </row>
    <row r="2388" spans="3:4" ht="12.75">
      <c r="C2388" s="13"/>
      <c r="D2388" s="13"/>
    </row>
    <row r="2389" spans="3:4" ht="12.75">
      <c r="C2389" s="13"/>
      <c r="D2389" s="13"/>
    </row>
    <row r="2390" spans="3:4" ht="12.75">
      <c r="C2390" s="13"/>
      <c r="D2390" s="13"/>
    </row>
    <row r="2391" spans="3:4" ht="12.75">
      <c r="C2391" s="13"/>
      <c r="D2391" s="13"/>
    </row>
    <row r="2392" spans="3:4" ht="12.75">
      <c r="C2392" s="13"/>
      <c r="D2392" s="13"/>
    </row>
    <row r="2393" spans="3:4" ht="12.75">
      <c r="C2393" s="13"/>
      <c r="D2393" s="13"/>
    </row>
    <row r="2394" spans="3:4" ht="12.75">
      <c r="C2394" s="13"/>
      <c r="D2394" s="13"/>
    </row>
    <row r="2395" spans="3:4" ht="12.75">
      <c r="C2395" s="13"/>
      <c r="D2395" s="13"/>
    </row>
    <row r="2396" spans="3:4" ht="12.75">
      <c r="C2396" s="13"/>
      <c r="D2396" s="13"/>
    </row>
    <row r="2397" spans="3:4" ht="12.75">
      <c r="C2397" s="13"/>
      <c r="D2397" s="13"/>
    </row>
    <row r="2398" spans="3:4" ht="12.75">
      <c r="C2398" s="13"/>
      <c r="D2398" s="13"/>
    </row>
    <row r="2399" spans="3:4" ht="12.75">
      <c r="C2399" s="13"/>
      <c r="D2399" s="13"/>
    </row>
    <row r="2400" spans="3:4" ht="12.75">
      <c r="C2400" s="13"/>
      <c r="D2400" s="13"/>
    </row>
    <row r="2401" spans="3:4" ht="12.75">
      <c r="C2401" s="13"/>
      <c r="D2401" s="13"/>
    </row>
    <row r="2402" spans="3:4" ht="12.75">
      <c r="C2402" s="13"/>
      <c r="D2402" s="13"/>
    </row>
    <row r="2403" spans="3:4" ht="12.75">
      <c r="C2403" s="13"/>
      <c r="D2403" s="13"/>
    </row>
    <row r="2404" spans="3:4" ht="12.75">
      <c r="C2404" s="13"/>
      <c r="D2404" s="13"/>
    </row>
    <row r="2405" spans="3:4" ht="12.75">
      <c r="C2405" s="13"/>
      <c r="D2405" s="13"/>
    </row>
    <row r="2406" spans="3:4" ht="12.75">
      <c r="C2406" s="13"/>
      <c r="D2406" s="13"/>
    </row>
    <row r="2407" spans="3:4" ht="12.75">
      <c r="C2407" s="13"/>
      <c r="D2407" s="13"/>
    </row>
    <row r="2408" spans="3:4" ht="12.75">
      <c r="C2408" s="13"/>
      <c r="D2408" s="13"/>
    </row>
    <row r="2409" spans="3:4" ht="12.75">
      <c r="C2409" s="13"/>
      <c r="D2409" s="13"/>
    </row>
    <row r="2410" spans="3:4" ht="12.75">
      <c r="C2410" s="13"/>
      <c r="D2410" s="13"/>
    </row>
    <row r="2411" spans="3:4" ht="12.75">
      <c r="C2411" s="13"/>
      <c r="D2411" s="13"/>
    </row>
    <row r="2412" spans="3:4" ht="12.75">
      <c r="C2412" s="13"/>
      <c r="D2412" s="13"/>
    </row>
    <row r="2413" spans="3:4" ht="12.75">
      <c r="C2413" s="13"/>
      <c r="D2413" s="13"/>
    </row>
    <row r="2414" spans="3:4" ht="12.75">
      <c r="C2414" s="13"/>
      <c r="D2414" s="13"/>
    </row>
    <row r="2415" spans="3:4" ht="12.75">
      <c r="C2415" s="13"/>
      <c r="D2415" s="13"/>
    </row>
    <row r="2416" spans="3:4" ht="12.75">
      <c r="C2416" s="13"/>
      <c r="D2416" s="13"/>
    </row>
    <row r="2417" spans="3:4" ht="12.75">
      <c r="C2417" s="13"/>
      <c r="D2417" s="13"/>
    </row>
    <row r="2418" spans="3:4" ht="12.75">
      <c r="C2418" s="13"/>
      <c r="D2418" s="13"/>
    </row>
    <row r="2419" spans="3:4" ht="12.75">
      <c r="C2419" s="13"/>
      <c r="D2419" s="13"/>
    </row>
    <row r="2420" spans="3:4" ht="12.75">
      <c r="C2420" s="13"/>
      <c r="D2420" s="13"/>
    </row>
    <row r="2421" spans="3:4" ht="12.75">
      <c r="C2421" s="13"/>
      <c r="D2421" s="13"/>
    </row>
    <row r="2422" spans="3:4" ht="12.75">
      <c r="C2422" s="13"/>
      <c r="D2422" s="13"/>
    </row>
    <row r="2423" spans="3:4" ht="12.75">
      <c r="C2423" s="13"/>
      <c r="D2423" s="13"/>
    </row>
    <row r="2424" spans="3:4" ht="12.75">
      <c r="C2424" s="13"/>
      <c r="D2424" s="13"/>
    </row>
    <row r="2425" spans="3:4" ht="12.75">
      <c r="C2425" s="13"/>
      <c r="D2425" s="13"/>
    </row>
    <row r="2426" spans="3:4" ht="12.75">
      <c r="C2426" s="13"/>
      <c r="D2426" s="13"/>
    </row>
    <row r="2427" spans="3:4" ht="12.75">
      <c r="C2427" s="13"/>
      <c r="D2427" s="13"/>
    </row>
    <row r="2428" spans="3:4" ht="12.75">
      <c r="C2428" s="13"/>
      <c r="D2428" s="13"/>
    </row>
    <row r="2429" spans="3:4" ht="12.75">
      <c r="C2429" s="13"/>
      <c r="D2429" s="13"/>
    </row>
    <row r="2430" spans="3:4" ht="12.75">
      <c r="C2430" s="13"/>
      <c r="D2430" s="13"/>
    </row>
    <row r="2431" spans="3:4" ht="12.75">
      <c r="C2431" s="13"/>
      <c r="D2431" s="13"/>
    </row>
    <row r="2432" spans="3:4" ht="12.75">
      <c r="C2432" s="13"/>
      <c r="D2432" s="13"/>
    </row>
    <row r="2433" spans="3:4" ht="12.75">
      <c r="C2433" s="13"/>
      <c r="D2433" s="13"/>
    </row>
    <row r="2434" spans="3:4" ht="12.75">
      <c r="C2434" s="13"/>
      <c r="D2434" s="13"/>
    </row>
    <row r="2435" spans="3:4" ht="12.75">
      <c r="C2435" s="13"/>
      <c r="D2435" s="13"/>
    </row>
    <row r="2436" spans="3:4" ht="12.75">
      <c r="C2436" s="13"/>
      <c r="D2436" s="13"/>
    </row>
    <row r="2437" spans="3:4" ht="12.75">
      <c r="C2437" s="13"/>
      <c r="D2437" s="13"/>
    </row>
    <row r="2438" spans="3:4" ht="12.75">
      <c r="C2438" s="13"/>
      <c r="D2438" s="13"/>
    </row>
    <row r="2439" spans="3:4" ht="12.75">
      <c r="C2439" s="13"/>
      <c r="D2439" s="13"/>
    </row>
    <row r="2440" spans="3:4" ht="12.75">
      <c r="C2440" s="13"/>
      <c r="D2440" s="13"/>
    </row>
    <row r="2441" spans="3:4" ht="12.75">
      <c r="C2441" s="13"/>
      <c r="D2441" s="13"/>
    </row>
    <row r="2442" spans="3:4" ht="12.75">
      <c r="C2442" s="13"/>
      <c r="D2442" s="13"/>
    </row>
    <row r="2443" spans="3:4" ht="12.75">
      <c r="C2443" s="13"/>
      <c r="D2443" s="13"/>
    </row>
    <row r="2444" spans="3:4" ht="12.75">
      <c r="C2444" s="13"/>
      <c r="D2444" s="13"/>
    </row>
    <row r="2445" spans="3:4" ht="12.75">
      <c r="C2445" s="13"/>
      <c r="D2445" s="13"/>
    </row>
    <row r="2446" spans="3:4" ht="12.75">
      <c r="C2446" s="13"/>
      <c r="D2446" s="13"/>
    </row>
    <row r="2447" spans="3:4" ht="12.75">
      <c r="C2447" s="13"/>
      <c r="D2447" s="13"/>
    </row>
    <row r="2448" spans="3:4" ht="12.75">
      <c r="C2448" s="13"/>
      <c r="D2448" s="13"/>
    </row>
    <row r="2449" spans="3:4" ht="12.75">
      <c r="C2449" s="13"/>
      <c r="D2449" s="13"/>
    </row>
    <row r="2450" spans="3:4" ht="12.75">
      <c r="C2450" s="13"/>
      <c r="D2450" s="13"/>
    </row>
    <row r="2451" spans="3:4" ht="12.75">
      <c r="C2451" s="13"/>
      <c r="D2451" s="13"/>
    </row>
    <row r="2452" spans="3:4" ht="12.75">
      <c r="C2452" s="13"/>
      <c r="D2452" s="13"/>
    </row>
    <row r="2453" spans="3:4" ht="12.75">
      <c r="C2453" s="13"/>
      <c r="D2453" s="13"/>
    </row>
    <row r="2454" spans="3:4" ht="12.75">
      <c r="C2454" s="13"/>
      <c r="D2454" s="13"/>
    </row>
    <row r="2455" spans="3:4" ht="12.75">
      <c r="C2455" s="13"/>
      <c r="D2455" s="13"/>
    </row>
    <row r="2456" spans="3:4" ht="12.75">
      <c r="C2456" s="13"/>
      <c r="D2456" s="13"/>
    </row>
    <row r="2457" spans="3:4" ht="12.75">
      <c r="C2457" s="13"/>
      <c r="D2457" s="13"/>
    </row>
    <row r="2458" spans="3:4" ht="12.75">
      <c r="C2458" s="13"/>
      <c r="D2458" s="13"/>
    </row>
    <row r="2459" spans="3:4" ht="12.75">
      <c r="C2459" s="13"/>
      <c r="D2459" s="13"/>
    </row>
    <row r="2460" spans="3:4" ht="12.75">
      <c r="C2460" s="13"/>
      <c r="D2460" s="13"/>
    </row>
    <row r="2461" spans="3:4" ht="12.75">
      <c r="C2461" s="13"/>
      <c r="D2461" s="13"/>
    </row>
    <row r="2462" spans="3:4" ht="12.75">
      <c r="C2462" s="13"/>
      <c r="D2462" s="13"/>
    </row>
    <row r="2463" spans="3:4" ht="12.75">
      <c r="C2463" s="13"/>
      <c r="D2463" s="13"/>
    </row>
    <row r="2464" spans="3:4" ht="12.75">
      <c r="C2464" s="13"/>
      <c r="D2464" s="13"/>
    </row>
    <row r="2465" spans="3:4" ht="12.75">
      <c r="C2465" s="13"/>
      <c r="D2465" s="13"/>
    </row>
    <row r="2466" spans="3:4" ht="12.75">
      <c r="C2466" s="13"/>
      <c r="D2466" s="13"/>
    </row>
    <row r="2467" spans="3:4" ht="12.75">
      <c r="C2467" s="13"/>
      <c r="D2467" s="13"/>
    </row>
    <row r="2468" spans="3:4" ht="12.75">
      <c r="C2468" s="13"/>
      <c r="D2468" s="13"/>
    </row>
    <row r="2469" spans="3:4" ht="12.75">
      <c r="C2469" s="13"/>
      <c r="D2469" s="13"/>
    </row>
    <row r="2470" spans="3:4" ht="12.75">
      <c r="C2470" s="13"/>
      <c r="D2470" s="13"/>
    </row>
    <row r="2471" spans="3:4" ht="12.75">
      <c r="C2471" s="13"/>
      <c r="D2471" s="13"/>
    </row>
    <row r="2472" spans="3:4" ht="12.75">
      <c r="C2472" s="13"/>
      <c r="D2472" s="13"/>
    </row>
    <row r="2473" spans="3:4" ht="12.75">
      <c r="C2473" s="13"/>
      <c r="D2473" s="13"/>
    </row>
    <row r="2474" spans="3:4" ht="12.75">
      <c r="C2474" s="13"/>
      <c r="D2474" s="13"/>
    </row>
    <row r="2475" spans="3:4" ht="12.75">
      <c r="C2475" s="13"/>
      <c r="D2475" s="13"/>
    </row>
    <row r="2476" spans="3:4" ht="12.75">
      <c r="C2476" s="13"/>
      <c r="D2476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E30" sqref="E3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31</v>
      </c>
      <c r="C1" s="12" t="s">
        <v>37</v>
      </c>
    </row>
    <row r="2" spans="1:3" ht="12.75">
      <c r="A2" t="s">
        <v>27</v>
      </c>
      <c r="C2" s="12"/>
    </row>
    <row r="4" spans="1:4" ht="12.75">
      <c r="A4" s="8" t="s">
        <v>0</v>
      </c>
      <c r="C4" s="3">
        <v>25532.63</v>
      </c>
      <c r="D4" s="4">
        <v>22.242</v>
      </c>
    </row>
    <row r="6" ht="12.75">
      <c r="A6" s="8" t="s">
        <v>1</v>
      </c>
    </row>
    <row r="7" spans="1:3" ht="12.75">
      <c r="A7" t="s">
        <v>2</v>
      </c>
      <c r="C7">
        <f>+C4</f>
        <v>25532.63</v>
      </c>
    </row>
    <row r="8" spans="1:3" ht="12.75">
      <c r="A8" t="s">
        <v>3</v>
      </c>
      <c r="C8">
        <f>+D4</f>
        <v>22.242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INTERCEPT(G21:G993,F21:F993)</f>
        <v>-0.04827359121161434</v>
      </c>
      <c r="D11" s="6"/>
    </row>
    <row r="12" spans="1:4" ht="12.75">
      <c r="A12" t="s">
        <v>17</v>
      </c>
      <c r="C12">
        <f>SLOPE(G21:G993,F21:F993)</f>
        <v>0.004345458202838981</v>
      </c>
      <c r="D12" s="6"/>
    </row>
    <row r="13" spans="1:4" ht="12.75">
      <c r="A13" t="s">
        <v>21</v>
      </c>
      <c r="C13" s="6" t="s">
        <v>14</v>
      </c>
      <c r="D13" s="6"/>
    </row>
    <row r="14" ht="12.75">
      <c r="A14" t="s">
        <v>26</v>
      </c>
    </row>
    <row r="15" spans="1:3" ht="12.75">
      <c r="A15" s="5" t="s">
        <v>18</v>
      </c>
      <c r="C15" s="11">
        <v>49391.68</v>
      </c>
    </row>
    <row r="16" spans="1:3" ht="12.75">
      <c r="A16" s="8" t="s">
        <v>4</v>
      </c>
      <c r="C16">
        <f>+C8+C12</f>
        <v>22.24634545820284</v>
      </c>
    </row>
    <row r="17" ht="13.5" thickBot="1"/>
    <row r="18" spans="1:4" ht="12.75">
      <c r="A18" s="8" t="s">
        <v>5</v>
      </c>
      <c r="C18" s="3">
        <f>+C15</f>
        <v>49391.68</v>
      </c>
      <c r="D18" s="4">
        <f>+C16</f>
        <v>22.24634545820284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36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31">
        <v>25532.63</v>
      </c>
      <c r="D21" s="31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-0.04827359121161434</v>
      </c>
      <c r="Q21" s="2">
        <f>+C21-15018.5</f>
        <v>10514.130000000001</v>
      </c>
    </row>
    <row r="22" spans="1:30" ht="12.75">
      <c r="A22" t="s">
        <v>33</v>
      </c>
      <c r="C22" s="31">
        <v>49391.68</v>
      </c>
      <c r="D22" s="31"/>
      <c r="E22">
        <f>+(C22-C$7)/C$8</f>
        <v>1072.7025447351857</v>
      </c>
      <c r="F22">
        <f>ROUND(2*E22,0)/2</f>
        <v>1072.5</v>
      </c>
      <c r="G22">
        <f>+C22-(C$7+F22*C$8)</f>
        <v>4.504999999997381</v>
      </c>
      <c r="I22">
        <f>+G22</f>
        <v>4.504999999997381</v>
      </c>
      <c r="O22">
        <f>+C$11+C$12*F22</f>
        <v>4.612230331333192</v>
      </c>
      <c r="Q22" s="2">
        <f>+C22-15018.5</f>
        <v>34373.18</v>
      </c>
      <c r="AA22">
        <v>4</v>
      </c>
      <c r="AB22" t="s">
        <v>32</v>
      </c>
      <c r="AD22" t="s">
        <v>34</v>
      </c>
    </row>
    <row r="23" spans="1:17" ht="12.75">
      <c r="A23" t="s">
        <v>35</v>
      </c>
      <c r="C23" s="31">
        <v>50870.63</v>
      </c>
      <c r="D23" s="31"/>
      <c r="E23">
        <f>+(C23-C$7)/C$8</f>
        <v>1139.1961154572427</v>
      </c>
      <c r="F23">
        <f>ROUND(2*E23,0)/2</f>
        <v>1139</v>
      </c>
      <c r="G23">
        <f>+C23-(C$7+F23*C$8)</f>
        <v>4.361999999993714</v>
      </c>
      <c r="N23">
        <f>G23</f>
        <v>4.361999999993714</v>
      </c>
      <c r="O23">
        <f>+C$11+C$12*F23</f>
        <v>4.901203301821985</v>
      </c>
      <c r="Q23" s="2">
        <f>+C23-15018.5</f>
        <v>35852.13</v>
      </c>
    </row>
    <row r="24" spans="1:17" ht="12.75">
      <c r="A24" s="34" t="s">
        <v>49</v>
      </c>
      <c r="B24" s="35" t="s">
        <v>50</v>
      </c>
      <c r="C24" s="37">
        <v>52651.475</v>
      </c>
      <c r="D24" s="37">
        <v>0.02</v>
      </c>
      <c r="E24" s="32">
        <f>+(C24-C$7)/C$8</f>
        <v>1219.2628810358779</v>
      </c>
      <c r="F24" s="38">
        <f>ROUND(2*E24,0)/2-0.5</f>
        <v>1219</v>
      </c>
      <c r="G24" s="32">
        <f>+C24-(C$7+F24*C$8)</f>
        <v>5.847000000001572</v>
      </c>
      <c r="H24" s="32"/>
      <c r="I24" s="32"/>
      <c r="J24">
        <f>G24</f>
        <v>5.847000000001572</v>
      </c>
      <c r="O24">
        <f>+C$11+C$12*F24</f>
        <v>5.248839958049103</v>
      </c>
      <c r="Q24" s="2">
        <f>+C24-15018.5</f>
        <v>37632.975</v>
      </c>
    </row>
    <row r="25" spans="4:17" ht="12.75">
      <c r="D25" s="6"/>
      <c r="Q25" s="2"/>
    </row>
    <row r="26" spans="4:17" ht="12.75">
      <c r="D26" s="6"/>
      <c r="Q26" s="2"/>
    </row>
    <row r="27" spans="4:17" ht="12.75">
      <c r="D27" s="6"/>
      <c r="Q27" s="2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0"/>
  <sheetViews>
    <sheetView zoomScalePageLayoutView="0" workbookViewId="0" topLeftCell="A1">
      <selection activeCell="A14" sqref="A14:D14"/>
    </sheetView>
  </sheetViews>
  <sheetFormatPr defaultColWidth="9.140625" defaultRowHeight="12.75"/>
  <cols>
    <col min="1" max="1" width="19.7109375" style="13" customWidth="1"/>
    <col min="2" max="2" width="4.421875" style="15" customWidth="1"/>
    <col min="3" max="3" width="12.7109375" style="13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3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47" t="s">
        <v>53</v>
      </c>
      <c r="I1" s="48" t="s">
        <v>54</v>
      </c>
      <c r="J1" s="49" t="s">
        <v>55</v>
      </c>
    </row>
    <row r="2" spans="9:10" ht="12.75">
      <c r="I2" s="50" t="s">
        <v>56</v>
      </c>
      <c r="J2" s="51" t="s">
        <v>57</v>
      </c>
    </row>
    <row r="3" spans="1:10" ht="12.75">
      <c r="A3" s="52" t="s">
        <v>58</v>
      </c>
      <c r="I3" s="50" t="s">
        <v>59</v>
      </c>
      <c r="J3" s="51" t="s">
        <v>60</v>
      </c>
    </row>
    <row r="4" spans="9:10" ht="12.75">
      <c r="I4" s="50" t="s">
        <v>61</v>
      </c>
      <c r="J4" s="51" t="s">
        <v>60</v>
      </c>
    </row>
    <row r="5" spans="9:10" ht="13.5" thickBot="1">
      <c r="I5" s="53" t="s">
        <v>62</v>
      </c>
      <c r="J5" s="54" t="s">
        <v>63</v>
      </c>
    </row>
    <row r="10" ht="13.5" thickBot="1"/>
    <row r="11" spans="1:16" ht="12.75" customHeight="1" thickBot="1">
      <c r="A11" s="13" t="str">
        <f>P11</f>
        <v> BBS 106 </v>
      </c>
      <c r="B11" s="6" t="str">
        <f>IF(H11=INT(H11),"I","II")</f>
        <v>I</v>
      </c>
      <c r="C11" s="13">
        <f>1*G11</f>
        <v>49391.68</v>
      </c>
      <c r="D11" s="15" t="str">
        <f>VLOOKUP(F11,I$1:J$5,2,FALSE)</f>
        <v>vis</v>
      </c>
      <c r="E11" s="55">
        <f>VLOOKUP(C11,Active!C$21:E$973,3,FALSE)</f>
        <v>1072.7025447351857</v>
      </c>
      <c r="F11" s="6" t="s">
        <v>62</v>
      </c>
      <c r="G11" s="15" t="str">
        <f>MID(I11,3,LEN(I11)-3)</f>
        <v>49391.68</v>
      </c>
      <c r="H11" s="13">
        <f>1*K11</f>
        <v>-821</v>
      </c>
      <c r="I11" s="56" t="s">
        <v>64</v>
      </c>
      <c r="J11" s="57" t="s">
        <v>65</v>
      </c>
      <c r="K11" s="56">
        <v>-821</v>
      </c>
      <c r="L11" s="56" t="s">
        <v>66</v>
      </c>
      <c r="M11" s="57" t="s">
        <v>67</v>
      </c>
      <c r="N11" s="57" t="s">
        <v>68</v>
      </c>
      <c r="O11" s="58" t="s">
        <v>69</v>
      </c>
      <c r="P11" s="58" t="s">
        <v>70</v>
      </c>
    </row>
    <row r="12" spans="1:16" ht="12.75" customHeight="1" thickBot="1">
      <c r="A12" s="13" t="str">
        <f>P12</f>
        <v>OEJV 0142 </v>
      </c>
      <c r="B12" s="6" t="str">
        <f>IF(H12=INT(H12),"I","II")</f>
        <v>I</v>
      </c>
      <c r="C12" s="13">
        <f>1*G12</f>
        <v>55578.58</v>
      </c>
      <c r="D12" s="15" t="str">
        <f>VLOOKUP(F12,I$1:J$5,2,FALSE)</f>
        <v>vis</v>
      </c>
      <c r="E12" s="55">
        <f>VLOOKUP(C12,Active!C$21:E$973,3,FALSE)</f>
        <v>1350.8654797230465</v>
      </c>
      <c r="F12" s="6" t="s">
        <v>62</v>
      </c>
      <c r="G12" s="15" t="str">
        <f>MID(I12,3,LEN(I12)-3)</f>
        <v>55578.58</v>
      </c>
      <c r="H12" s="13">
        <f>1*K12</f>
        <v>569</v>
      </c>
      <c r="I12" s="56" t="s">
        <v>77</v>
      </c>
      <c r="J12" s="57" t="s">
        <v>78</v>
      </c>
      <c r="K12" s="56">
        <v>569</v>
      </c>
      <c r="L12" s="56" t="s">
        <v>79</v>
      </c>
      <c r="M12" s="57" t="s">
        <v>74</v>
      </c>
      <c r="N12" s="57" t="s">
        <v>75</v>
      </c>
      <c r="O12" s="58" t="s">
        <v>69</v>
      </c>
      <c r="P12" s="59" t="s">
        <v>80</v>
      </c>
    </row>
    <row r="13" spans="1:16" ht="12.75" customHeight="1" thickBot="1">
      <c r="A13" s="13" t="str">
        <f>P13</f>
        <v>OEJV 0147 </v>
      </c>
      <c r="B13" s="6" t="str">
        <f>IF(H13=INT(H13),"I","II")</f>
        <v>I</v>
      </c>
      <c r="C13" s="13">
        <f>1*G13</f>
        <v>55943.465</v>
      </c>
      <c r="D13" s="15" t="str">
        <f>VLOOKUP(F13,I$1:J$5,2,FALSE)</f>
        <v>vis</v>
      </c>
      <c r="E13" s="55">
        <f>VLOOKUP(C13,Active!C$21:E$973,3,FALSE)</f>
        <v>1367.2707040733744</v>
      </c>
      <c r="F13" s="6" t="s">
        <v>62</v>
      </c>
      <c r="G13" s="15" t="str">
        <f>MID(I13,3,LEN(I13)-3)</f>
        <v>55943.465</v>
      </c>
      <c r="H13" s="13">
        <f>1*K13</f>
        <v>651</v>
      </c>
      <c r="I13" s="56" t="s">
        <v>81</v>
      </c>
      <c r="J13" s="57" t="s">
        <v>82</v>
      </c>
      <c r="K13" s="56">
        <v>651</v>
      </c>
      <c r="L13" s="56" t="s">
        <v>83</v>
      </c>
      <c r="M13" s="57" t="s">
        <v>74</v>
      </c>
      <c r="N13" s="57" t="s">
        <v>75</v>
      </c>
      <c r="O13" s="58" t="s">
        <v>69</v>
      </c>
      <c r="P13" s="59" t="s">
        <v>84</v>
      </c>
    </row>
    <row r="14" spans="1:16" ht="12.75" customHeight="1" thickBot="1">
      <c r="A14" s="13" t="str">
        <f>P14</f>
        <v>OEJV 0116 </v>
      </c>
      <c r="B14" s="6" t="str">
        <f>IF(H14=INT(H14),"I","II")</f>
        <v>I</v>
      </c>
      <c r="C14" s="13">
        <f>1*G14</f>
        <v>52681.475</v>
      </c>
      <c r="D14" s="15" t="str">
        <f>VLOOKUP(F14,I$1:J$5,2,FALSE)</f>
        <v>vis</v>
      </c>
      <c r="E14" s="55" t="e">
        <f>VLOOKUP(C14,Active!C$21:E$973,3,FALSE)</f>
        <v>#N/A</v>
      </c>
      <c r="F14" s="6" t="s">
        <v>62</v>
      </c>
      <c r="G14" s="15" t="str">
        <f>MID(I14,3,LEN(I14)-3)</f>
        <v>52681.475</v>
      </c>
      <c r="H14" s="13">
        <f>1*K14</f>
        <v>-82</v>
      </c>
      <c r="I14" s="56" t="s">
        <v>71</v>
      </c>
      <c r="J14" s="57" t="s">
        <v>72</v>
      </c>
      <c r="K14" s="56">
        <v>-82</v>
      </c>
      <c r="L14" s="56" t="s">
        <v>73</v>
      </c>
      <c r="M14" s="57" t="s">
        <v>74</v>
      </c>
      <c r="N14" s="57" t="s">
        <v>75</v>
      </c>
      <c r="O14" s="58" t="s">
        <v>69</v>
      </c>
      <c r="P14" s="59" t="s">
        <v>76</v>
      </c>
    </row>
    <row r="15" spans="2:6" ht="12.75">
      <c r="B15" s="6"/>
      <c r="F15" s="6"/>
    </row>
    <row r="16" spans="2:6" ht="12.75">
      <c r="B16" s="6"/>
      <c r="F16" s="6"/>
    </row>
    <row r="17" spans="2:6" ht="12.75">
      <c r="B17" s="6"/>
      <c r="F17" s="6"/>
    </row>
    <row r="18" spans="2:6" ht="12.75">
      <c r="B18" s="6"/>
      <c r="F18" s="6"/>
    </row>
    <row r="19" spans="2:6" ht="12.75">
      <c r="B19" s="6"/>
      <c r="F19" s="6"/>
    </row>
    <row r="20" spans="2:6" ht="12.75">
      <c r="B20" s="6"/>
      <c r="F20" s="6"/>
    </row>
    <row r="21" spans="2:6" ht="12.75">
      <c r="B21" s="6"/>
      <c r="F21" s="6"/>
    </row>
    <row r="22" spans="2:6" ht="12.75">
      <c r="B22" s="6"/>
      <c r="F22" s="6"/>
    </row>
    <row r="23" spans="2:6" ht="12.75">
      <c r="B23" s="6"/>
      <c r="F23" s="6"/>
    </row>
    <row r="24" spans="2:6" ht="12.75">
      <c r="B24" s="6"/>
      <c r="F24" s="6"/>
    </row>
    <row r="25" spans="2:6" ht="12.75">
      <c r="B25" s="6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</sheetData>
  <sheetProtection/>
  <hyperlinks>
    <hyperlink ref="P14" r:id="rId1" display="http://var.astro.cz/oejv/issues/oejv0116.pdf"/>
    <hyperlink ref="P12" r:id="rId2" display="http://var.astro.cz/oejv/issues/oejv0142.pdf"/>
    <hyperlink ref="P13" r:id="rId3" display="http://var.astro.cz/oejv/issues/oejv0147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