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8595" windowHeight="1326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<sst xmlns="http://schemas.openxmlformats.org/spreadsheetml/2006/main" count="134" uniqueCount="94">
  <si>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</si>
  <si>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</si>
  <si>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</si>
  <si>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</si>
  <si>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</si>
  <si>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</si>
  <si>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</si>
  <si>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</si>
  <si>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</si>
  <si>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</si>
  <si>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</si>
  <si>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</si>
  <si>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</si>
  <si>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</si>
  <si>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</si>
  <si>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</si>
  <si>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</si>
  <si>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</si>
  <si>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</si>
  <si>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</si>
  <si>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</si>
  <si>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</si>
  <si>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</si>
  <si>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</si>
  <si>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</si>
  <si>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</si>
  <si>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</si>
  <si>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</si>
  <si>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</si>
  <si>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Bull.86</t>
  </si>
  <si>
    <t>B</t>
  </si>
  <si>
    <t>BBSAG Bull.90</t>
  </si>
  <si>
    <t>BBSAG Bull.93</t>
  </si>
  <si>
    <t>IBVS 5263</t>
  </si>
  <si>
    <t>I</t>
  </si>
  <si>
    <t>IBVS 3877</t>
  </si>
  <si>
    <t>EA/SD</t>
  </si>
  <si>
    <t># of data points:</t>
  </si>
  <si>
    <t>AE Cnc / gsc 0810-2158</t>
  </si>
  <si>
    <t>IBVS 5657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</si>
  <si>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</si>
  <si>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</si>
  <si>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</si>
  <si>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</si>
  <si>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</si>
  <si>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</si>
  <si>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</si>
  <si>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Start of linear fit &gt;&gt;&gt;&gt;&gt;&gt;&gt;&gt;&gt;&gt;&gt;&gt;&gt;&gt;&gt;&gt;&gt;&gt;&gt;&gt;&gt;</t>
  </si>
  <si>
    <t>IBVS 5992</t>
  </si>
  <si>
    <t>IBVS 6010</t>
  </si>
  <si>
    <t>IBVS 6011</t>
  </si>
  <si>
    <t>OEJV 0168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</si>
  <si>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</si>
  <si>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</si>
  <si>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</si>
  <si>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</si>
  <si>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</si>
  <si>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</si>
  <si>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</si>
  <si>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</si>
  <si>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</si>
  <si>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</si>
  <si>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</si>
  <si>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2451193.5731 </t>
  </si>
  <si>
    <t> 15.01.1999 01:45 </t>
  </si>
  <si>
    <t> -0.0020 </t>
  </si>
  <si>
    <t>E </t>
  </si>
  <si>
    <t>?</t>
  </si>
  <si>
    <t> Zejda &amp; Hanzl </t>
  </si>
  <si>
    <t>IBVS 5263 </t>
  </si>
  <si>
    <t>2453443.3356 </t>
  </si>
  <si>
    <t> 13.03.2005 20:03 </t>
  </si>
  <si>
    <t> -0.0021 </t>
  </si>
  <si>
    <t>-I</t>
  </si>
  <si>
    <t> F.Agerer </t>
  </si>
  <si>
    <t>BAVM 173 </t>
  </si>
  <si>
    <t>2455621.4657 </t>
  </si>
  <si>
    <t> 28.02.2011 23:10 </t>
  </si>
  <si>
    <t>330</t>
  </si>
  <si>
    <t> -0.0003 </t>
  </si>
  <si>
    <t>C </t>
  </si>
  <si>
    <t>BAVM 220 </t>
  </si>
  <si>
    <t>2455632.6588 </t>
  </si>
  <si>
    <t> 12.03.2011 03:48 </t>
  </si>
  <si>
    <t>335</t>
  </si>
  <si>
    <t> -0.0000 </t>
  </si>
  <si>
    <t> R.Diethelm </t>
  </si>
  <si>
    <t>IBVS 5992 </t>
  </si>
  <si>
    <t>2455934.8625 </t>
  </si>
  <si>
    <t> 08.01.2012 08:42 </t>
  </si>
  <si>
    <t>470</t>
  </si>
  <si>
    <t> -0.0033 </t>
  </si>
  <si>
    <t>IBVS 6011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</si>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</sst>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b/>
      <sz val="12"/>
      <color indexed="8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9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9" fillId="33" borderId="18" xfId="54" applyFill="1" applyBorder="1" applyAlignment="1" applyProtection="1">
      <alignment horizontal="right" vertical="top" wrapText="1"/>
      <protection/>
    </xf>
    <xf numFmtId="0" fontId="1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AE Cnc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05"/>
          <c:w val="0.91475"/>
          <c:h val="0.795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0.004</c:v>
                  </c:pt>
                  <c:pt idx="5">
                    <c:v>0.0019</c:v>
                  </c:pt>
                  <c:pt idx="6">
                    <c:v>0.0009</c:v>
                  </c:pt>
                  <c:pt idx="7">
                    <c:v>0.0025</c:v>
                  </c:pt>
                  <c:pt idx="8">
                    <c:v>0.0006</c:v>
                  </c:pt>
                  <c:pt idx="9">
                    <c:v>0.0008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0.004</c:v>
                  </c:pt>
                  <c:pt idx="5">
                    <c:v>0.0019</c:v>
                  </c:pt>
                  <c:pt idx="6">
                    <c:v>0.0009</c:v>
                  </c:pt>
                  <c:pt idx="7">
                    <c:v>0.0025</c:v>
                  </c:pt>
                  <c:pt idx="8">
                    <c:v>0.0006</c:v>
                  </c:pt>
                  <c:pt idx="9">
                    <c:v>0.0008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0.004</c:v>
                  </c:pt>
                  <c:pt idx="5">
                    <c:v>0.0019</c:v>
                  </c:pt>
                  <c:pt idx="6">
                    <c:v>0.0009</c:v>
                  </c:pt>
                  <c:pt idx="7">
                    <c:v>0.0025</c:v>
                  </c:pt>
                  <c:pt idx="8">
                    <c:v>0.0006</c:v>
                  </c:pt>
                  <c:pt idx="9">
                    <c:v>0.0008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0.004</c:v>
                  </c:pt>
                  <c:pt idx="5">
                    <c:v>0.0019</c:v>
                  </c:pt>
                  <c:pt idx="6">
                    <c:v>0.0009</c:v>
                  </c:pt>
                  <c:pt idx="7">
                    <c:v>0.0025</c:v>
                  </c:pt>
                  <c:pt idx="8">
                    <c:v>0.0006</c:v>
                  </c:pt>
                  <c:pt idx="9">
                    <c:v>0.0008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0.004</c:v>
                  </c:pt>
                  <c:pt idx="5">
                    <c:v>0.0019</c:v>
                  </c:pt>
                  <c:pt idx="6">
                    <c:v>0.0009</c:v>
                  </c:pt>
                  <c:pt idx="7">
                    <c:v>0.0025</c:v>
                  </c:pt>
                  <c:pt idx="8">
                    <c:v>0.0006</c:v>
                  </c:pt>
                  <c:pt idx="9">
                    <c:v>0.0008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0.004</c:v>
                  </c:pt>
                  <c:pt idx="5">
                    <c:v>0.0019</c:v>
                  </c:pt>
                  <c:pt idx="6">
                    <c:v>0.0009</c:v>
                  </c:pt>
                  <c:pt idx="7">
                    <c:v>0.0025</c:v>
                  </c:pt>
                  <c:pt idx="8">
                    <c:v>0.0006</c:v>
                  </c:pt>
                  <c:pt idx="9">
                    <c:v>0.0008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0.004</c:v>
                  </c:pt>
                  <c:pt idx="5">
                    <c:v>0.0019</c:v>
                  </c:pt>
                  <c:pt idx="6">
                    <c:v>0.0009</c:v>
                  </c:pt>
                  <c:pt idx="7">
                    <c:v>0.0025</c:v>
                  </c:pt>
                  <c:pt idx="8">
                    <c:v>0.0006</c:v>
                  </c:pt>
                  <c:pt idx="9">
                    <c:v>0.0008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0.004</c:v>
                  </c:pt>
                  <c:pt idx="5">
                    <c:v>0.0019</c:v>
                  </c:pt>
                  <c:pt idx="6">
                    <c:v>0.0009</c:v>
                  </c:pt>
                  <c:pt idx="7">
                    <c:v>0.0025</c:v>
                  </c:pt>
                  <c:pt idx="8">
                    <c:v>0.0006</c:v>
                  </c:pt>
                  <c:pt idx="9">
                    <c:v>0.0008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0.004</c:v>
                  </c:pt>
                  <c:pt idx="5">
                    <c:v>0.0019</c:v>
                  </c:pt>
                  <c:pt idx="6">
                    <c:v>0.0009</c:v>
                  </c:pt>
                  <c:pt idx="7">
                    <c:v>0.0025</c:v>
                  </c:pt>
                  <c:pt idx="8">
                    <c:v>0.0006</c:v>
                  </c:pt>
                  <c:pt idx="9">
                    <c:v>0.0008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0.004</c:v>
                  </c:pt>
                  <c:pt idx="5">
                    <c:v>0.0019</c:v>
                  </c:pt>
                  <c:pt idx="6">
                    <c:v>0.0009</c:v>
                  </c:pt>
                  <c:pt idx="7">
                    <c:v>0.0025</c:v>
                  </c:pt>
                  <c:pt idx="8">
                    <c:v>0.0006</c:v>
                  </c:pt>
                  <c:pt idx="9">
                    <c:v>0.0008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0.004</c:v>
                  </c:pt>
                  <c:pt idx="5">
                    <c:v>0.0019</c:v>
                  </c:pt>
                  <c:pt idx="6">
                    <c:v>0.0009</c:v>
                  </c:pt>
                  <c:pt idx="7">
                    <c:v>0.0025</c:v>
                  </c:pt>
                  <c:pt idx="8">
                    <c:v>0.0006</c:v>
                  </c:pt>
                  <c:pt idx="9">
                    <c:v>0.0008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0.004</c:v>
                  </c:pt>
                  <c:pt idx="5">
                    <c:v>0.0019</c:v>
                  </c:pt>
                  <c:pt idx="6">
                    <c:v>0.0009</c:v>
                  </c:pt>
                  <c:pt idx="7">
                    <c:v>0.0025</c:v>
                  </c:pt>
                  <c:pt idx="8">
                    <c:v>0.0006</c:v>
                  </c:pt>
                  <c:pt idx="9">
                    <c:v>0.0008</c:v>
                  </c:pt>
                  <c:pt idx="10">
                    <c:v>0.0003</c:v>
                  </c:pt>
                  <c:pt idx="11">
                    <c:v>0.0003</c:v>
                  </c:pt>
                  <c:pt idx="12">
                    <c:v>0.0003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8678604"/>
        <c:axId val="10998573"/>
      </c:scatterChart>
      <c:valAx>
        <c:axId val="867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8573"/>
        <c:crosses val="autoZero"/>
        <c:crossBetween val="midCat"/>
        <c:dispUnits/>
      </c:valAx>
      <c:valAx>
        <c:axId val="10998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86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05"/>
          <c:w val="0.696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0</xdr:row>
      <xdr:rowOff>66675</xdr:rowOff>
    </xdr:from>
    <xdr:to>
      <xdr:col>18</xdr:col>
      <xdr:colOff>238125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5010150" y="66675"/>
        <a:ext cx="66675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63" TargetMode="External" /><Relationship Id="rId2" Type="http://schemas.openxmlformats.org/officeDocument/2006/relationships/hyperlink" Target="http://www.bav-astro.de/sfs/BAVM_link.php?BAVMnr=173" TargetMode="External" /><Relationship Id="rId3" Type="http://schemas.openxmlformats.org/officeDocument/2006/relationships/hyperlink" Target="http://www.bav-astro.de/sfs/BAVM_link.php?BAVMnr=220" TargetMode="External" /><Relationship Id="rId4" Type="http://schemas.openxmlformats.org/officeDocument/2006/relationships/hyperlink" Target="http://www.konkoly.hu/cgi-bin/IBVS?5992" TargetMode="External" /><Relationship Id="rId5" Type="http://schemas.openxmlformats.org/officeDocument/2006/relationships/hyperlink" Target="http://www.konkoly.hu/cgi-bin/IBVS?601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3" ht="12.75">
      <c r="A2" t="s">
        <v>24</v>
      </c>
      <c r="B2" s="11" t="s">
        <v>36</v>
      </c>
      <c r="C2" s="12"/>
    </row>
    <row r="3" ht="13.5" thickBot="1"/>
    <row r="4" spans="1:4" ht="14.25" thickBot="1" thickTop="1">
      <c r="A4" s="7" t="s">
        <v>0</v>
      </c>
      <c r="C4" s="3">
        <v>43170.4645</v>
      </c>
      <c r="D4" s="4">
        <v>2.238603</v>
      </c>
    </row>
    <row r="5" spans="1:4" ht="13.5" thickTop="1">
      <c r="A5" s="17" t="s">
        <v>40</v>
      </c>
      <c r="B5" s="12"/>
      <c r="C5" s="18">
        <v>-9.5</v>
      </c>
      <c r="D5" s="12" t="s">
        <v>41</v>
      </c>
    </row>
    <row r="6" ht="12.75">
      <c r="A6" s="7" t="s">
        <v>1</v>
      </c>
    </row>
    <row r="7" spans="1:3" ht="12.75">
      <c r="A7" t="s">
        <v>2</v>
      </c>
      <c r="C7">
        <f>+C4</f>
        <v>43170.4645</v>
      </c>
    </row>
    <row r="8" spans="1:3" ht="12.75">
      <c r="A8" t="s">
        <v>3</v>
      </c>
      <c r="C8">
        <f>+D4</f>
        <v>2.238603</v>
      </c>
    </row>
    <row r="9" spans="1:4" ht="12.75">
      <c r="A9" s="30" t="s">
        <v>47</v>
      </c>
      <c r="B9" s="31">
        <v>21</v>
      </c>
      <c r="C9" s="20" t="str">
        <f>"F"&amp;B9</f>
        <v>F21</v>
      </c>
      <c r="D9" s="10" t="str">
        <f>"G"&amp;B9</f>
        <v>G21</v>
      </c>
    </row>
    <row r="10" spans="1:5" ht="13.5" thickBot="1">
      <c r="A10" s="12"/>
      <c r="B10" s="12"/>
      <c r="C10" s="6" t="s">
        <v>20</v>
      </c>
      <c r="D10" s="6" t="s">
        <v>21</v>
      </c>
      <c r="E10" s="12"/>
    </row>
    <row r="11" spans="1:5" ht="12.75">
      <c r="A11" s="12" t="s">
        <v>16</v>
      </c>
      <c r="B11" s="12"/>
      <c r="C11" s="19">
        <f ca="1">INTERCEPT(INDIRECT($D$9):G992,INDIRECT($C$9):F992)</f>
        <v>0.07935850156995855</v>
      </c>
      <c r="D11" s="5"/>
      <c r="E11" s="12"/>
    </row>
    <row r="12" spans="1:5" ht="12.75">
      <c r="A12" s="12" t="s">
        <v>17</v>
      </c>
      <c r="B12" s="12"/>
      <c r="C12" s="19">
        <f ca="1">SLOPE(INDIRECT($D$9):G992,INDIRECT($C$9):F992)</f>
        <v>-3.431727303836652E-05</v>
      </c>
      <c r="D12" s="5"/>
      <c r="E12" s="12"/>
    </row>
    <row r="13" spans="1:3" ht="12.75">
      <c r="A13" s="12" t="s">
        <v>19</v>
      </c>
      <c r="B13" s="12"/>
      <c r="C13" s="5" t="s">
        <v>14</v>
      </c>
    </row>
    <row r="14" spans="1:3" ht="12.75">
      <c r="A14" s="12"/>
      <c r="B14" s="12"/>
      <c r="C14" s="12"/>
    </row>
    <row r="15" spans="1:6" ht="12.75">
      <c r="A15" s="23" t="s">
        <v>18</v>
      </c>
      <c r="B15" s="12"/>
      <c r="C15" s="24">
        <f>(C7+C11)+(C8+C12)*INT(MAX(F21:F3533))</f>
        <v>56718.361526365145</v>
      </c>
      <c r="E15" s="21" t="s">
        <v>42</v>
      </c>
      <c r="F15" s="18">
        <v>1</v>
      </c>
    </row>
    <row r="16" spans="1:6" ht="12.75">
      <c r="A16" s="25" t="s">
        <v>4</v>
      </c>
      <c r="B16" s="12"/>
      <c r="C16" s="26">
        <f>+C8+C12</f>
        <v>2.2385686827269615</v>
      </c>
      <c r="E16" s="21" t="s">
        <v>43</v>
      </c>
      <c r="F16" s="22">
        <f ca="1">NOW()+15018.5+$C$5/24</f>
        <v>59895.86004664352</v>
      </c>
    </row>
    <row r="17" spans="1:6" ht="13.5" thickBot="1">
      <c r="A17" s="21" t="s">
        <v>37</v>
      </c>
      <c r="B17" s="12"/>
      <c r="C17" s="12">
        <f>COUNT(C21:C2191)</f>
        <v>13</v>
      </c>
      <c r="E17" s="21" t="s">
        <v>44</v>
      </c>
      <c r="F17" s="22">
        <f>ROUND(2*(F16-$C$7)/$C$8,0)/2+F15</f>
        <v>7472.5</v>
      </c>
    </row>
    <row r="18" spans="1:6" ht="14.25" thickBot="1" thickTop="1">
      <c r="A18" s="25" t="s">
        <v>5</v>
      </c>
      <c r="B18" s="12"/>
      <c r="C18" s="28">
        <f>+C15</f>
        <v>56718.361526365145</v>
      </c>
      <c r="D18" s="29">
        <f>+C16</f>
        <v>2.2385686827269615</v>
      </c>
      <c r="E18" s="21" t="s">
        <v>45</v>
      </c>
      <c r="F18" s="10">
        <f>ROUND(2*(F16-$C$15)/$C$16,0)/2+F15</f>
        <v>1420.5</v>
      </c>
    </row>
    <row r="19" spans="5:6" ht="13.5" thickTop="1">
      <c r="E19" s="21" t="s">
        <v>46</v>
      </c>
      <c r="F19" s="27">
        <f>+$C$15+$C$16*F18-15018.5-$C$5/24</f>
        <v>44880.144173512126</v>
      </c>
    </row>
    <row r="20" spans="1:21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59</v>
      </c>
      <c r="I20" s="9" t="s">
        <v>62</v>
      </c>
      <c r="J20" s="9" t="s">
        <v>56</v>
      </c>
      <c r="K20" s="9" t="s">
        <v>54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  <c r="U20" s="51" t="s">
        <v>93</v>
      </c>
    </row>
    <row r="21" spans="1:17" ht="12.75">
      <c r="A21" t="s">
        <v>12</v>
      </c>
      <c r="C21" s="15">
        <v>43170.4645</v>
      </c>
      <c r="D21" s="15" t="s">
        <v>14</v>
      </c>
      <c r="E21">
        <f aca="true" t="shared" si="0" ref="E21:E33">+(C21-C$7)/C$8</f>
        <v>0</v>
      </c>
      <c r="F21">
        <f aca="true" t="shared" si="1" ref="F21:F33">ROUND(2*E21,0)/2</f>
        <v>0</v>
      </c>
      <c r="H21" s="10">
        <v>0</v>
      </c>
      <c r="O21">
        <f aca="true" t="shared" si="2" ref="O21:O33">+C$11+C$12*F21</f>
        <v>0.07935850156995855</v>
      </c>
      <c r="Q21" s="2">
        <f aca="true" t="shared" si="3" ref="Q21:Q33">+C21-15018.5</f>
        <v>28151.964500000002</v>
      </c>
    </row>
    <row r="22" spans="1:30" ht="12.75">
      <c r="A22" t="s">
        <v>29</v>
      </c>
      <c r="C22" s="15">
        <v>47159.671</v>
      </c>
      <c r="D22" s="15"/>
      <c r="E22">
        <f t="shared" si="0"/>
        <v>1782.0071267661128</v>
      </c>
      <c r="F22">
        <f t="shared" si="1"/>
        <v>1782</v>
      </c>
      <c r="G22">
        <f>+C22-(C$7+F22*C$8)</f>
        <v>0.0159540000022389</v>
      </c>
      <c r="I22">
        <f>+G22</f>
        <v>0.0159540000022389</v>
      </c>
      <c r="O22">
        <f t="shared" si="2"/>
        <v>0.018205121015589416</v>
      </c>
      <c r="Q22" s="2">
        <f t="shared" si="3"/>
        <v>32141.171000000002</v>
      </c>
      <c r="AA22">
        <v>4</v>
      </c>
      <c r="AB22" t="s">
        <v>28</v>
      </c>
      <c r="AD22" t="s">
        <v>30</v>
      </c>
    </row>
    <row r="23" spans="1:30" ht="12.75">
      <c r="A23" t="s">
        <v>31</v>
      </c>
      <c r="C23" s="15">
        <v>47524.537</v>
      </c>
      <c r="D23" s="15"/>
      <c r="E23">
        <f t="shared" si="0"/>
        <v>1944.995383281446</v>
      </c>
      <c r="F23">
        <f t="shared" si="1"/>
        <v>1945</v>
      </c>
      <c r="O23">
        <f t="shared" si="2"/>
        <v>0.012611405510335669</v>
      </c>
      <c r="Q23" s="2">
        <f t="shared" si="3"/>
        <v>32506.036999999997</v>
      </c>
      <c r="U23">
        <f>+C23-(C$7+F23*C$8)</f>
        <v>-0.010335000006307382</v>
      </c>
      <c r="AA23">
        <v>6</v>
      </c>
      <c r="AB23" t="s">
        <v>28</v>
      </c>
      <c r="AD23" t="s">
        <v>30</v>
      </c>
    </row>
    <row r="24" spans="1:30" ht="12.75">
      <c r="A24" t="s">
        <v>32</v>
      </c>
      <c r="C24" s="15">
        <v>47880.466</v>
      </c>
      <c r="D24" s="15"/>
      <c r="E24">
        <f t="shared" si="0"/>
        <v>2103.991417861943</v>
      </c>
      <c r="F24">
        <f t="shared" si="1"/>
        <v>2104</v>
      </c>
      <c r="O24">
        <f t="shared" si="2"/>
        <v>0.007154959097235403</v>
      </c>
      <c r="Q24" s="2">
        <f t="shared" si="3"/>
        <v>32861.966</v>
      </c>
      <c r="U24">
        <f>+C24-(C$7+F24*C$8)</f>
        <v>-0.019211999999242835</v>
      </c>
      <c r="AA24">
        <v>5</v>
      </c>
      <c r="AB24" t="s">
        <v>28</v>
      </c>
      <c r="AD24" t="s">
        <v>30</v>
      </c>
    </row>
    <row r="25" spans="1:18" ht="12.75">
      <c r="A25" t="s">
        <v>35</v>
      </c>
      <c r="C25" s="15">
        <v>49006.495</v>
      </c>
      <c r="D25" s="15">
        <v>0.004</v>
      </c>
      <c r="E25">
        <f t="shared" si="0"/>
        <v>2606.9966403154112</v>
      </c>
      <c r="F25">
        <f t="shared" si="1"/>
        <v>2607</v>
      </c>
      <c r="G25">
        <f aca="true" t="shared" si="4" ref="G25:G33">+C25-(C$7+F25*C$8)</f>
        <v>-0.007520999999542255</v>
      </c>
      <c r="K25">
        <f>+G25</f>
        <v>-0.007520999999542255</v>
      </c>
      <c r="O25">
        <f t="shared" si="2"/>
        <v>-0.010106629241062953</v>
      </c>
      <c r="Q25" s="2">
        <f t="shared" si="3"/>
        <v>33987.995</v>
      </c>
      <c r="R25" t="s">
        <v>54</v>
      </c>
    </row>
    <row r="26" spans="1:18" ht="12.75">
      <c r="A26" t="s">
        <v>33</v>
      </c>
      <c r="B26" t="s">
        <v>34</v>
      </c>
      <c r="C26" s="16">
        <v>51193.5731</v>
      </c>
      <c r="D26" s="16">
        <v>0.0019</v>
      </c>
      <c r="E26">
        <f t="shared" si="0"/>
        <v>3583.980098302379</v>
      </c>
      <c r="F26">
        <f t="shared" si="1"/>
        <v>3584</v>
      </c>
      <c r="G26">
        <f t="shared" si="4"/>
        <v>-0.04455199999938486</v>
      </c>
      <c r="K26">
        <f>+G26</f>
        <v>-0.04455199999938486</v>
      </c>
      <c r="O26">
        <f t="shared" si="2"/>
        <v>-0.04363460499954705</v>
      </c>
      <c r="Q26" s="2">
        <f t="shared" si="3"/>
        <v>36175.0731</v>
      </c>
      <c r="R26" t="s">
        <v>54</v>
      </c>
    </row>
    <row r="27" spans="1:18" ht="12.75">
      <c r="A27" s="13" t="s">
        <v>39</v>
      </c>
      <c r="B27" s="14"/>
      <c r="C27" s="15">
        <v>53443.3356</v>
      </c>
      <c r="D27" s="15">
        <v>0.0009</v>
      </c>
      <c r="E27">
        <f t="shared" si="0"/>
        <v>4588.965126911738</v>
      </c>
      <c r="F27">
        <f t="shared" si="1"/>
        <v>4589</v>
      </c>
      <c r="G27">
        <f t="shared" si="4"/>
        <v>-0.0780670000021928</v>
      </c>
      <c r="J27">
        <f>+G27</f>
        <v>-0.0780670000021928</v>
      </c>
      <c r="O27">
        <f t="shared" si="2"/>
        <v>-0.07812346440310539</v>
      </c>
      <c r="Q27" s="2">
        <f t="shared" si="3"/>
        <v>38424.8356</v>
      </c>
      <c r="R27" t="s">
        <v>56</v>
      </c>
    </row>
    <row r="28" spans="1:18" ht="12.75">
      <c r="A28" s="32" t="s">
        <v>49</v>
      </c>
      <c r="B28" s="33" t="s">
        <v>34</v>
      </c>
      <c r="C28" s="32">
        <v>55621.4657</v>
      </c>
      <c r="D28" s="32">
        <v>0.0025</v>
      </c>
      <c r="E28">
        <f t="shared" si="0"/>
        <v>5561.95144918505</v>
      </c>
      <c r="F28">
        <f t="shared" si="1"/>
        <v>5562</v>
      </c>
      <c r="G28">
        <f t="shared" si="4"/>
        <v>-0.10868599999957951</v>
      </c>
      <c r="J28">
        <f>+G28</f>
        <v>-0.10868599999957951</v>
      </c>
      <c r="O28">
        <f t="shared" si="2"/>
        <v>-0.11151417106943601</v>
      </c>
      <c r="Q28" s="2">
        <f t="shared" si="3"/>
        <v>40602.9657</v>
      </c>
      <c r="R28" t="s">
        <v>56</v>
      </c>
    </row>
    <row r="29" spans="1:18" ht="12.75">
      <c r="A29" s="32" t="s">
        <v>48</v>
      </c>
      <c r="B29" s="33" t="s">
        <v>34</v>
      </c>
      <c r="C29" s="32">
        <v>55632.6588</v>
      </c>
      <c r="D29" s="32">
        <v>0.0006</v>
      </c>
      <c r="E29">
        <f t="shared" si="0"/>
        <v>5566.951487155157</v>
      </c>
      <c r="F29">
        <f t="shared" si="1"/>
        <v>5567</v>
      </c>
      <c r="G29">
        <f t="shared" si="4"/>
        <v>-0.10860100000718376</v>
      </c>
      <c r="K29">
        <f>+G29</f>
        <v>-0.10860100000718376</v>
      </c>
      <c r="O29">
        <f t="shared" si="2"/>
        <v>-0.11168575743462786</v>
      </c>
      <c r="Q29" s="2">
        <f t="shared" si="3"/>
        <v>40614.1588</v>
      </c>
      <c r="R29" t="s">
        <v>54</v>
      </c>
    </row>
    <row r="30" spans="1:18" ht="12.75">
      <c r="A30" s="32" t="s">
        <v>50</v>
      </c>
      <c r="B30" s="33" t="s">
        <v>34</v>
      </c>
      <c r="C30" s="32">
        <v>55934.8625</v>
      </c>
      <c r="D30" s="32">
        <v>0.0008</v>
      </c>
      <c r="E30">
        <f t="shared" si="0"/>
        <v>5701.948045276452</v>
      </c>
      <c r="F30">
        <f t="shared" si="1"/>
        <v>5702</v>
      </c>
      <c r="G30">
        <f t="shared" si="4"/>
        <v>-0.11630599999625701</v>
      </c>
      <c r="K30">
        <f>+G30</f>
        <v>-0.11630599999625701</v>
      </c>
      <c r="O30">
        <f t="shared" si="2"/>
        <v>-0.11631858929480732</v>
      </c>
      <c r="Q30" s="2">
        <f t="shared" si="3"/>
        <v>40916.3625</v>
      </c>
      <c r="R30" t="s">
        <v>54</v>
      </c>
    </row>
    <row r="31" spans="1:18" ht="12.75">
      <c r="A31" s="34" t="s">
        <v>51</v>
      </c>
      <c r="B31" s="35" t="s">
        <v>34</v>
      </c>
      <c r="C31" s="36">
        <v>56718.35936</v>
      </c>
      <c r="D31" s="34">
        <v>0.0003</v>
      </c>
      <c r="E31">
        <f t="shared" si="0"/>
        <v>6051.941706501779</v>
      </c>
      <c r="F31">
        <f t="shared" si="1"/>
        <v>6052</v>
      </c>
      <c r="G31">
        <f t="shared" si="4"/>
        <v>-0.13049599999794737</v>
      </c>
      <c r="K31">
        <f>+G31</f>
        <v>-0.13049599999794737</v>
      </c>
      <c r="O31">
        <f t="shared" si="2"/>
        <v>-0.12832963485823562</v>
      </c>
      <c r="Q31" s="2">
        <f t="shared" si="3"/>
        <v>41699.85936</v>
      </c>
      <c r="R31" t="s">
        <v>54</v>
      </c>
    </row>
    <row r="32" spans="1:18" ht="12.75">
      <c r="A32" s="34" t="s">
        <v>51</v>
      </c>
      <c r="B32" s="35" t="s">
        <v>34</v>
      </c>
      <c r="C32" s="36">
        <v>56718.35985</v>
      </c>
      <c r="D32" s="34">
        <v>0.0003</v>
      </c>
      <c r="E32">
        <f t="shared" si="0"/>
        <v>6051.941925388289</v>
      </c>
      <c r="F32">
        <f t="shared" si="1"/>
        <v>6052</v>
      </c>
      <c r="G32">
        <f t="shared" si="4"/>
        <v>-0.13000599999941187</v>
      </c>
      <c r="K32">
        <f>+G32</f>
        <v>-0.13000599999941187</v>
      </c>
      <c r="O32">
        <f t="shared" si="2"/>
        <v>-0.12832963485823562</v>
      </c>
      <c r="Q32" s="2">
        <f t="shared" si="3"/>
        <v>41699.85985</v>
      </c>
      <c r="R32" t="s">
        <v>54</v>
      </c>
    </row>
    <row r="33" spans="1:18" ht="12.75">
      <c r="A33" s="34" t="s">
        <v>51</v>
      </c>
      <c r="B33" s="35" t="s">
        <v>34</v>
      </c>
      <c r="C33" s="36">
        <v>56718.35997</v>
      </c>
      <c r="D33" s="34">
        <v>0.0003</v>
      </c>
      <c r="E33">
        <f t="shared" si="0"/>
        <v>6051.941978993147</v>
      </c>
      <c r="F33">
        <f t="shared" si="1"/>
        <v>6052</v>
      </c>
      <c r="G33">
        <f t="shared" si="4"/>
        <v>-0.12988600000244332</v>
      </c>
      <c r="K33">
        <f>+G33</f>
        <v>-0.12988600000244332</v>
      </c>
      <c r="O33">
        <f t="shared" si="2"/>
        <v>-0.12832963485823562</v>
      </c>
      <c r="Q33" s="2">
        <f t="shared" si="3"/>
        <v>41699.85997</v>
      </c>
      <c r="R33" t="s">
        <v>54</v>
      </c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2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38" customWidth="1"/>
    <col min="2" max="2" width="4.421875" style="12" customWidth="1"/>
    <col min="3" max="3" width="12.7109375" style="38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38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7" t="s">
        <v>52</v>
      </c>
      <c r="I1" s="39" t="s">
        <v>53</v>
      </c>
      <c r="J1" s="40" t="s">
        <v>54</v>
      </c>
    </row>
    <row r="2" spans="9:10" ht="12.75">
      <c r="I2" s="41" t="s">
        <v>55</v>
      </c>
      <c r="J2" s="42" t="s">
        <v>56</v>
      </c>
    </row>
    <row r="3" spans="1:10" ht="12.75">
      <c r="A3" s="43" t="s">
        <v>57</v>
      </c>
      <c r="I3" s="41" t="s">
        <v>58</v>
      </c>
      <c r="J3" s="42" t="s">
        <v>59</v>
      </c>
    </row>
    <row r="4" spans="9:10" ht="12.75">
      <c r="I4" s="41" t="s">
        <v>60</v>
      </c>
      <c r="J4" s="42" t="s">
        <v>59</v>
      </c>
    </row>
    <row r="5" spans="9:10" ht="13.5" thickBot="1">
      <c r="I5" s="44" t="s">
        <v>61</v>
      </c>
      <c r="J5" s="45" t="s">
        <v>62</v>
      </c>
    </row>
    <row r="10" ht="13.5" thickBot="1"/>
    <row r="11" spans="1:16" ht="12.75" customHeight="1" thickBot="1">
      <c r="A11" s="38" t="str">
        <f>P11</f>
        <v>IBVS 5263 </v>
      </c>
      <c r="B11" s="5" t="str">
        <f>IF(H11=INT(H11),"I","II")</f>
        <v>I</v>
      </c>
      <c r="C11" s="38">
        <f>1*G11</f>
        <v>51193.5731</v>
      </c>
      <c r="D11" s="12" t="str">
        <f>VLOOKUP(F11,I$1:J$5,2,FALSE)</f>
        <v>vis</v>
      </c>
      <c r="E11" s="46">
        <f>VLOOKUP(C11,A!C$21:E$973,3,FALSE)</f>
        <v>3583.980098302379</v>
      </c>
      <c r="F11" s="5" t="s">
        <v>61</v>
      </c>
      <c r="G11" s="12" t="str">
        <f>MID(I11,3,LEN(I11)-3)</f>
        <v>51193.5731</v>
      </c>
      <c r="H11" s="38">
        <f>1*K11</f>
        <v>-1648</v>
      </c>
      <c r="I11" s="47" t="s">
        <v>63</v>
      </c>
      <c r="J11" s="48" t="s">
        <v>64</v>
      </c>
      <c r="K11" s="47">
        <v>-1648</v>
      </c>
      <c r="L11" s="47" t="s">
        <v>65</v>
      </c>
      <c r="M11" s="48" t="s">
        <v>66</v>
      </c>
      <c r="N11" s="48" t="s">
        <v>67</v>
      </c>
      <c r="O11" s="49" t="s">
        <v>68</v>
      </c>
      <c r="P11" s="50" t="s">
        <v>69</v>
      </c>
    </row>
    <row r="12" spans="1:16" ht="12.75" customHeight="1" thickBot="1">
      <c r="A12" s="38" t="str">
        <f>P12</f>
        <v>BAVM 173 </v>
      </c>
      <c r="B12" s="5" t="str">
        <f>IF(H12=INT(H12),"I","II")</f>
        <v>I</v>
      </c>
      <c r="C12" s="38">
        <f>1*G12</f>
        <v>53443.3356</v>
      </c>
      <c r="D12" s="12" t="str">
        <f>VLOOKUP(F12,I$1:J$5,2,FALSE)</f>
        <v>vis</v>
      </c>
      <c r="E12" s="46">
        <f>VLOOKUP(C12,A!C$21:E$973,3,FALSE)</f>
        <v>4588.965126911738</v>
      </c>
      <c r="F12" s="5" t="s">
        <v>61</v>
      </c>
      <c r="G12" s="12" t="str">
        <f>MID(I12,3,LEN(I12)-3)</f>
        <v>53443.3356</v>
      </c>
      <c r="H12" s="38">
        <f>1*K12</f>
        <v>-643</v>
      </c>
      <c r="I12" s="47" t="s">
        <v>70</v>
      </c>
      <c r="J12" s="48" t="s">
        <v>71</v>
      </c>
      <c r="K12" s="47">
        <v>-643</v>
      </c>
      <c r="L12" s="47" t="s">
        <v>72</v>
      </c>
      <c r="M12" s="48" t="s">
        <v>66</v>
      </c>
      <c r="N12" s="48" t="s">
        <v>73</v>
      </c>
      <c r="O12" s="49" t="s">
        <v>74</v>
      </c>
      <c r="P12" s="50" t="s">
        <v>75</v>
      </c>
    </row>
    <row r="13" spans="1:16" ht="12.75" customHeight="1" thickBot="1">
      <c r="A13" s="38" t="str">
        <f>P13</f>
        <v>BAVM 220 </v>
      </c>
      <c r="B13" s="5" t="str">
        <f>IF(H13=INT(H13),"I","II")</f>
        <v>I</v>
      </c>
      <c r="C13" s="38">
        <f>1*G13</f>
        <v>55621.4657</v>
      </c>
      <c r="D13" s="12" t="str">
        <f>VLOOKUP(F13,I$1:J$5,2,FALSE)</f>
        <v>vis</v>
      </c>
      <c r="E13" s="46">
        <f>VLOOKUP(C13,A!C$21:E$973,3,FALSE)</f>
        <v>5561.95144918505</v>
      </c>
      <c r="F13" s="5" t="s">
        <v>61</v>
      </c>
      <c r="G13" s="12" t="str">
        <f>MID(I13,3,LEN(I13)-3)</f>
        <v>55621.4657</v>
      </c>
      <c r="H13" s="38">
        <f>1*K13</f>
        <v>330</v>
      </c>
      <c r="I13" s="47" t="s">
        <v>76</v>
      </c>
      <c r="J13" s="48" t="s">
        <v>77</v>
      </c>
      <c r="K13" s="47" t="s">
        <v>78</v>
      </c>
      <c r="L13" s="47" t="s">
        <v>79</v>
      </c>
      <c r="M13" s="48" t="s">
        <v>80</v>
      </c>
      <c r="N13" s="48" t="s">
        <v>73</v>
      </c>
      <c r="O13" s="49" t="s">
        <v>74</v>
      </c>
      <c r="P13" s="50" t="s">
        <v>81</v>
      </c>
    </row>
    <row r="14" spans="1:16" ht="12.75" customHeight="1" thickBot="1">
      <c r="A14" s="38" t="str">
        <f>P14</f>
        <v>IBVS 5992 </v>
      </c>
      <c r="B14" s="5" t="str">
        <f>IF(H14=INT(H14),"I","II")</f>
        <v>I</v>
      </c>
      <c r="C14" s="38">
        <f>1*G14</f>
        <v>55632.6588</v>
      </c>
      <c r="D14" s="12" t="str">
        <f>VLOOKUP(F14,I$1:J$5,2,FALSE)</f>
        <v>vis</v>
      </c>
      <c r="E14" s="46">
        <f>VLOOKUP(C14,A!C$21:E$973,3,FALSE)</f>
        <v>5566.951487155157</v>
      </c>
      <c r="F14" s="5" t="s">
        <v>61</v>
      </c>
      <c r="G14" s="12" t="str">
        <f>MID(I14,3,LEN(I14)-3)</f>
        <v>55632.6588</v>
      </c>
      <c r="H14" s="38">
        <f>1*K14</f>
        <v>335</v>
      </c>
      <c r="I14" s="47" t="s">
        <v>82</v>
      </c>
      <c r="J14" s="48" t="s">
        <v>83</v>
      </c>
      <c r="K14" s="47" t="s">
        <v>84</v>
      </c>
      <c r="L14" s="47" t="s">
        <v>85</v>
      </c>
      <c r="M14" s="48" t="s">
        <v>80</v>
      </c>
      <c r="N14" s="48" t="s">
        <v>61</v>
      </c>
      <c r="O14" s="49" t="s">
        <v>86</v>
      </c>
      <c r="P14" s="50" t="s">
        <v>87</v>
      </c>
    </row>
    <row r="15" spans="1:16" ht="12.75" customHeight="1" thickBot="1">
      <c r="A15" s="38" t="str">
        <f>P15</f>
        <v>IBVS 6011 </v>
      </c>
      <c r="B15" s="5" t="str">
        <f>IF(H15=INT(H15),"I","II")</f>
        <v>I</v>
      </c>
      <c r="C15" s="38">
        <f>1*G15</f>
        <v>55934.8625</v>
      </c>
      <c r="D15" s="12" t="str">
        <f>VLOOKUP(F15,I$1:J$5,2,FALSE)</f>
        <v>vis</v>
      </c>
      <c r="E15" s="46">
        <f>VLOOKUP(C15,A!C$21:E$973,3,FALSE)</f>
        <v>5701.948045276452</v>
      </c>
      <c r="F15" s="5" t="s">
        <v>61</v>
      </c>
      <c r="G15" s="12" t="str">
        <f>MID(I15,3,LEN(I15)-3)</f>
        <v>55934.8625</v>
      </c>
      <c r="H15" s="38">
        <f>1*K15</f>
        <v>470</v>
      </c>
      <c r="I15" s="47" t="s">
        <v>88</v>
      </c>
      <c r="J15" s="48" t="s">
        <v>89</v>
      </c>
      <c r="K15" s="47" t="s">
        <v>90</v>
      </c>
      <c r="L15" s="47" t="s">
        <v>91</v>
      </c>
      <c r="M15" s="48" t="s">
        <v>80</v>
      </c>
      <c r="N15" s="48" t="s">
        <v>61</v>
      </c>
      <c r="O15" s="49" t="s">
        <v>86</v>
      </c>
      <c r="P15" s="50" t="s">
        <v>92</v>
      </c>
    </row>
    <row r="16" spans="2:6" ht="12.75">
      <c r="B16" s="5"/>
      <c r="F16" s="5"/>
    </row>
    <row r="17" spans="2:6" ht="12.75">
      <c r="B17" s="5"/>
      <c r="F17" s="5"/>
    </row>
    <row r="18" spans="2:6" ht="12.75">
      <c r="B18" s="5"/>
      <c r="F18" s="5"/>
    </row>
    <row r="19" spans="2:6" ht="12.75">
      <c r="B19" s="5"/>
      <c r="F19" s="5"/>
    </row>
    <row r="20" spans="2:6" ht="12.75">
      <c r="B20" s="5"/>
      <c r="F20" s="5"/>
    </row>
    <row r="21" spans="2:6" ht="12.75">
      <c r="B21" s="5"/>
      <c r="F21" s="5"/>
    </row>
    <row r="22" spans="2:6" ht="12.75">
      <c r="B22" s="5"/>
      <c r="F22" s="5"/>
    </row>
    <row r="23" spans="2:6" ht="12.75">
      <c r="B23" s="5"/>
      <c r="F23" s="5"/>
    </row>
    <row r="24" spans="2:6" ht="12.75">
      <c r="B24" s="5"/>
      <c r="F24" s="5"/>
    </row>
    <row r="25" spans="2:6" ht="12.75">
      <c r="B25" s="5"/>
      <c r="F25" s="5"/>
    </row>
    <row r="26" spans="2:6" ht="12.75">
      <c r="B26" s="5"/>
      <c r="F26" s="5"/>
    </row>
    <row r="27" spans="2:6" ht="12.75">
      <c r="B27" s="5"/>
      <c r="F27" s="5"/>
    </row>
    <row r="28" spans="2:6" ht="12.75">
      <c r="B28" s="5"/>
      <c r="F28" s="5"/>
    </row>
    <row r="29" spans="2:6" ht="12.75">
      <c r="B29" s="5"/>
      <c r="F29" s="5"/>
    </row>
    <row r="30" spans="2:6" ht="12.75">
      <c r="B30" s="5"/>
      <c r="F30" s="5"/>
    </row>
    <row r="31" spans="2:6" ht="12.75">
      <c r="B31" s="5"/>
      <c r="F31" s="5"/>
    </row>
    <row r="32" spans="2:6" ht="12.75">
      <c r="B32" s="5"/>
      <c r="F32" s="5"/>
    </row>
    <row r="33" spans="2:6" ht="12.75">
      <c r="B33" s="5"/>
      <c r="F33" s="5"/>
    </row>
    <row r="34" spans="2:6" ht="12.75">
      <c r="B34" s="5"/>
      <c r="F34" s="5"/>
    </row>
    <row r="35" spans="2:6" ht="12.75">
      <c r="B35" s="5"/>
      <c r="F35" s="5"/>
    </row>
    <row r="36" spans="2:6" ht="12.75">
      <c r="B36" s="5"/>
      <c r="F36" s="5"/>
    </row>
    <row r="37" spans="2:6" ht="12.75">
      <c r="B37" s="5"/>
      <c r="F37" s="5"/>
    </row>
    <row r="38" spans="2:6" ht="12.75">
      <c r="B38" s="5"/>
      <c r="F38" s="5"/>
    </row>
    <row r="39" spans="2:6" ht="12.75">
      <c r="B39" s="5"/>
      <c r="F39" s="5"/>
    </row>
    <row r="40" spans="2:6" ht="12.75">
      <c r="B40" s="5"/>
      <c r="F40" s="5"/>
    </row>
    <row r="41" spans="2:6" ht="12.75">
      <c r="B41" s="5"/>
      <c r="F41" s="5"/>
    </row>
    <row r="42" spans="2:6" ht="12.75">
      <c r="B42" s="5"/>
      <c r="F42" s="5"/>
    </row>
    <row r="43" spans="2:6" ht="12.75">
      <c r="B43" s="5"/>
      <c r="F43" s="5"/>
    </row>
    <row r="44" spans="2:6" ht="12.75">
      <c r="B44" s="5"/>
      <c r="F44" s="5"/>
    </row>
    <row r="45" spans="2:6" ht="12.75">
      <c r="B45" s="5"/>
      <c r="F45" s="5"/>
    </row>
    <row r="46" spans="2:6" ht="12.75">
      <c r="B46" s="5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</sheetData>
  <sheetProtection/>
  <hyperlinks>
    <hyperlink ref="P11" r:id="rId1" display="http://www.konkoly.hu/cgi-bin/IBVS?5263"/>
    <hyperlink ref="P12" r:id="rId2" display="http://www.bav-astro.de/sfs/BAVM_link.php?BAVMnr=173"/>
    <hyperlink ref="P13" r:id="rId3" display="http://www.bav-astro.de/sfs/BAVM_link.php?BAVMnr=220"/>
    <hyperlink ref="P14" r:id="rId4" display="http://www.konkoly.hu/cgi-bin/IBVS?5992"/>
    <hyperlink ref="P15" r:id="rId5" display="http://www.konkoly.hu/cgi-bin/IBVS?601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