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8490" windowHeight="13575" activeTab="0"/>
  </bookViews>
  <sheets>
    <sheet name="Active" sheetId="1" r:id="rId1"/>
    <sheet name="A (old)" sheetId="2" r:id="rId2"/>
    <sheet name="BAV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<sst xmlns="http://schemas.openxmlformats.org/spreadsheetml/2006/main" count="363" uniqueCount="154">
  <si>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</si>
  <si>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</si>
  <si>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</si>
  <si>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</si>
  <si>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</si>
  <si>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</si>
  <si>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</si>
  <si>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</si>
  <si>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</si>
  <si>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</si>
  <si>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</si>
  <si>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</si>
  <si>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</si>
  <si>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</si>
  <si>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</si>
  <si>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</si>
  <si>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</si>
  <si>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</si>
  <si>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</si>
  <si>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</si>
  <si>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</si>
  <si>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</si>
  <si>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</si>
  <si>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</si>
  <si>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</si>
  <si>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</si>
  <si>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</si>
  <si>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</si>
  <si>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</si>
  <si>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</si>
  <si>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II</t>
  </si>
  <si>
    <t>I</t>
  </si>
  <si>
    <t>IBVS 5095</t>
  </si>
  <si>
    <t>IBVS</t>
  </si>
  <si>
    <t>EW/KW</t>
  </si>
  <si>
    <t>FAINT!!</t>
  </si>
  <si>
    <t>15.2-15.5</t>
  </si>
  <si>
    <t>Krajci, priv.comm.</t>
  </si>
  <si>
    <t>IBVS 5579</t>
  </si>
  <si>
    <t>IBVS 5592</t>
  </si>
  <si>
    <t>AQ Com / na</t>
  </si>
  <si>
    <t>IBVS 5684</t>
  </si>
  <si>
    <t>Krajci</t>
  </si>
  <si>
    <t>AQ Com / GSC 01448-01046</t>
  </si>
  <si>
    <t>IBVS 5894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</si>
  <si>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</si>
  <si>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</si>
  <si>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</si>
  <si>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</si>
  <si>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</si>
  <si>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</si>
  <si>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Start of linear fit &gt;&gt;&gt;&gt;&gt;&gt;&gt;&gt;&gt;&gt;&gt;&gt;&gt;&gt;&gt;&gt;&gt;&gt;&gt;&gt;&gt;</t>
  </si>
  <si>
    <t>IBVS 5945</t>
  </si>
  <si>
    <t>IBVS 5918</t>
  </si>
  <si>
    <t>.0005</t>
  </si>
  <si>
    <t>IBVS 5992</t>
  </si>
  <si>
    <t>IBVS 6010</t>
  </si>
  <si>
    <t>.0003</t>
  </si>
  <si>
    <t>IBVS 6029</t>
  </si>
  <si>
    <t>IBVS 6063</t>
  </si>
  <si>
    <t>s</t>
  </si>
  <si>
    <t>IBVS 6118</t>
  </si>
  <si>
    <t>Add cycle</t>
  </si>
  <si>
    <t>Old Cycle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</si>
  <si>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</si>
  <si>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</si>
  <si>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</si>
  <si>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</si>
  <si>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</si>
  <si>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</si>
  <si>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</si>
  <si>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</si>
  <si>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</si>
  <si>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</si>
  <si>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</si>
  <si>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2452731.3728 </t>
  </si>
  <si>
    <t> 01.04.2003 20:56 </t>
  </si>
  <si>
    <t> 0.0153 </t>
  </si>
  <si>
    <t>E </t>
  </si>
  <si>
    <t>?</t>
  </si>
  <si>
    <t> T.Borkovits et al. </t>
  </si>
  <si>
    <t>IBVS 5579 </t>
  </si>
  <si>
    <t>2452731.5132 </t>
  </si>
  <si>
    <t> 02.04.2003 00:19 </t>
  </si>
  <si>
    <t> 0.0147 </t>
  </si>
  <si>
    <t>2453081.347 </t>
  </si>
  <si>
    <t> 16.03.2004 20:19 </t>
  </si>
  <si>
    <t> 0.069 </t>
  </si>
  <si>
    <t> I.Biro et al. </t>
  </si>
  <si>
    <t>IBVS 5684 </t>
  </si>
  <si>
    <t>2453081.4897 </t>
  </si>
  <si>
    <t> 16.03.2004 23:45 </t>
  </si>
  <si>
    <t> 0.0709 </t>
  </si>
  <si>
    <t>2453081.6283 </t>
  </si>
  <si>
    <t> 17.03.2004 03:04 </t>
  </si>
  <si>
    <t> 0.0685 </t>
  </si>
  <si>
    <t>2453123.2660 </t>
  </si>
  <si>
    <t> 27.04.2004 18:23 </t>
  </si>
  <si>
    <t> 0.0994 </t>
  </si>
  <si>
    <t> T.Krajci </t>
  </si>
  <si>
    <t>IBVS 5592 </t>
  </si>
  <si>
    <t>2453464.386 </t>
  </si>
  <si>
    <t> 03.04.2005 21:15 </t>
  </si>
  <si>
    <t> 0.044 </t>
  </si>
  <si>
    <t>2453464.5183 </t>
  </si>
  <si>
    <t> 04.04.2005 00:26 </t>
  </si>
  <si>
    <t> 0.0349 </t>
  </si>
  <si>
    <t>2454831.6443 </t>
  </si>
  <si>
    <t> 31.12.2008 03:27 </t>
  </si>
  <si>
    <t> 0.0602 </t>
  </si>
  <si>
    <t>C </t>
  </si>
  <si>
    <t>o</t>
  </si>
  <si>
    <t> W.Moschner &amp; P.Frank </t>
  </si>
  <si>
    <t>BAVM 209 </t>
  </si>
  <si>
    <t>2454881.8582 </t>
  </si>
  <si>
    <t> 19.02.2009 08:35 </t>
  </si>
  <si>
    <t> 0.0638 </t>
  </si>
  <si>
    <t> R.Diethelm </t>
  </si>
  <si>
    <t>IBVS 5894 </t>
  </si>
  <si>
    <t>2454957.6775 </t>
  </si>
  <si>
    <t> 06.05.2009 04:15 </t>
  </si>
  <si>
    <t> 0.1447 </t>
  </si>
  <si>
    <t>2455276.7070 </t>
  </si>
  <si>
    <t> 21.03.2010 04:58 </t>
  </si>
  <si>
    <t> 0.1417 </t>
  </si>
  <si>
    <t>IBVS 5945 </t>
  </si>
  <si>
    <t>2455279.3836 </t>
  </si>
  <si>
    <t> 23.03.2010 21:12 </t>
  </si>
  <si>
    <t> -0.0025 </t>
  </si>
  <si>
    <t>BAVM 234 </t>
  </si>
  <si>
    <t>2455615.8518 </t>
  </si>
  <si>
    <t> 23.02.2011 08:26 </t>
  </si>
  <si>
    <t> 0.0853 </t>
  </si>
  <si>
    <t>IBVS 5992 </t>
  </si>
  <si>
    <t>2455628.5127 </t>
  </si>
  <si>
    <t> 08.03.2011 00:18 </t>
  </si>
  <si>
    <t> 0.0526 </t>
  </si>
  <si>
    <t>BAVM 220 </t>
  </si>
  <si>
    <t>2455981.8645 </t>
  </si>
  <si>
    <t> 24.02.2012 08:44 </t>
  </si>
  <si>
    <t> 0.0992 </t>
  </si>
  <si>
    <t>IBVS 6029 </t>
  </si>
  <si>
    <t>2456048.6829 </t>
  </si>
  <si>
    <t> 01.05.2012 04:23 </t>
  </si>
  <si>
    <t> 0.0646 </t>
  </si>
  <si>
    <t>2456338.8744 </t>
  </si>
  <si>
    <t> 15.02.2013 08:59 </t>
  </si>
  <si>
    <t> -0.0042 </t>
  </si>
  <si>
    <t>R</t>
  </si>
  <si>
    <t>IBVS 6063 </t>
  </si>
  <si>
    <t>B</t>
  </si>
  <si>
    <t>2456338.8748 </t>
  </si>
  <si>
    <t> -0.0038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</si>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</sst>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 Com - O-C Diagr.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525"/>
          <c:w val="0.906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Active!$H$21:$H$992</c:f>
              <c:numCache/>
            </c:numRef>
          </c:yVal>
          <c:smooth val="0"/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Active!$D$21:$D$992</c:f>
                <c:numCache>
                  <c:ptCount val="9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Active!$I$21:$I$992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Active!$D$21:$D$42</c:f>
                <c:numCache>
                  <c:ptCount val="2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</c:numCache>
              </c:numRef>
            </c:plus>
            <c:minus>
              <c:numRef>
                <c:f>Active!$D$21:$D$42</c:f>
                <c:numCache>
                  <c:ptCount val="2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Active!$J$21:$J$992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Active!$K$21:$K$992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Active!$L$21:$L$992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Active!$M$21:$M$992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Active!$D$21:$D$92</c:f>
                <c:numCache>
                  <c:ptCount val="72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0.001</c:v>
                  </c:pt>
                  <c:pt idx="9">
                    <c:v>0.0002</c:v>
                  </c:pt>
                  <c:pt idx="10">
                    <c:v>0.0004</c:v>
                  </c:pt>
                  <c:pt idx="11">
                    <c:v>0.0005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</c:v>
                  </c:pt>
                  <c:pt idx="15">
                    <c:v>0.0004</c:v>
                  </c:pt>
                  <c:pt idx="16">
                    <c:v>0.0011</c:v>
                  </c:pt>
                  <c:pt idx="17">
                    <c:v>0.0005</c:v>
                  </c:pt>
                  <c:pt idx="18">
                    <c:v>0.0009</c:v>
                  </c:pt>
                  <c:pt idx="19">
                    <c:v>0</c:v>
                  </c:pt>
                  <c:pt idx="20">
                    <c:v>0.0004</c:v>
                  </c:pt>
                  <c:pt idx="21">
                    <c:v>0.0013</c:v>
                  </c:pt>
                  <c:pt idx="22">
                    <c:v>0.00038</c:v>
                  </c:pt>
                  <c:pt idx="23">
                    <c:v>0.00067</c:v>
                  </c:pt>
                  <c:pt idx="24">
                    <c:v>0.00032</c:v>
                  </c:pt>
                  <c:pt idx="25">
                    <c:v>0.0002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Active!$N$21:$N$992</c:f>
              <c:numCache/>
            </c:numRef>
          </c:yVal>
          <c:smooth val="0"/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Active!$F$21:$F$992</c:f>
              <c:numCache/>
            </c:numRef>
          </c:xVal>
          <c:yVal>
            <c:numRef>
              <c:f>Active!$O$21:$O$992</c:f>
              <c:numCache/>
            </c:numRef>
          </c:yVal>
          <c:smooth val="0"/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Active!$F$21:$F$993</c:f>
              <c:numCache/>
            </c:numRef>
          </c:xVal>
          <c:yVal>
            <c:numRef>
              <c:f>Active!$U$21:$U$993</c:f>
              <c:numCache/>
            </c:numRef>
          </c:yVal>
          <c:smooth val="0"/>
        </c:ser>
        <c:axId val="46365403"/>
        <c:axId val="14635444"/>
      </c:scatterChart>
      <c:valAx>
        <c:axId val="46365403"/>
        <c:scaling>
          <c:orientation val="minMax"/>
          <c:max val="110000"/>
          <c:min val="87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crossBetween val="midCat"/>
        <c:dispUnits/>
      </c:valAx>
      <c:valAx>
        <c:axId val="14635444"/>
        <c:scaling>
          <c:orientation val="minMax"/>
          <c:max val="0.01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"/>
          <c:y val="0.9305"/>
          <c:w val="0.784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AQ Com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(old)'!$F$21:$F$993</c:f>
              <c:numCache/>
            </c:numRef>
          </c:xVal>
          <c:yVal>
            <c:numRef>
              <c:f>'A (old)'!$H$21:$H$993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'A (old)'!$D$21:$D$993</c:f>
                <c:numCache>
                  <c:ptCount val="9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(old)'!$I$21:$I$993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'A (old)'!$D$21:$D$44</c:f>
                <c:numCache>
                  <c:ptCount val="24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(old)'!$J$21:$J$993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(old)'!$K$21:$K$993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(old)'!$L$21:$L$993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(old)'!$M$21:$M$993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'A (old)'!$D$21:$D$93</c:f>
                <c:numCache>
                  <c:ptCount val="73"/>
                  <c:pt idx="0">
                    <c:v>0</c:v>
                  </c:pt>
                  <c:pt idx="1">
                    <c:v>0.002</c:v>
                  </c:pt>
                  <c:pt idx="2">
                    <c:v>0.001</c:v>
                  </c:pt>
                  <c:pt idx="3">
                    <c:v>0.0016</c:v>
                  </c:pt>
                  <c:pt idx="4">
                    <c:v>0.0007</c:v>
                  </c:pt>
                  <c:pt idx="5">
                    <c:v>0.0004</c:v>
                  </c:pt>
                  <c:pt idx="6">
                    <c:v>0.0002</c:v>
                  </c:pt>
                  <c:pt idx="7">
                    <c:v>0.0004</c:v>
                  </c:pt>
                  <c:pt idx="8">
                    <c:v>0.0005</c:v>
                  </c:pt>
                  <c:pt idx="9">
                    <c:v>0.001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0.001</c:v>
                  </c:pt>
                  <c:pt idx="13">
                    <c:v>0.0007</c:v>
                  </c:pt>
                  <c:pt idx="14">
                    <c:v>0.0005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(old)'!$F$21:$F$993</c:f>
              <c:numCache/>
            </c:numRef>
          </c:xVal>
          <c:yVal>
            <c:numRef>
              <c:f>'A (old)'!$N$21:$N$993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(old)'!$F$21:$F$993</c:f>
              <c:numCache/>
            </c:numRef>
          </c:xVal>
          <c:yVal>
            <c:numRef>
              <c:f>'A (old)'!$O$21:$O$993</c:f>
              <c:numCache/>
            </c:numRef>
          </c:yVal>
          <c:smooth val="0"/>
        </c:ser>
        <c:axId val="64610133"/>
        <c:axId val="44620286"/>
      </c:scatterChart>
      <c:valAx>
        <c:axId val="64610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crossBetween val="midCat"/>
        <c:dispUnits/>
      </c:valAx>
      <c:valAx>
        <c:axId val="446202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crossBetween val="midCat"/>
        <c:dispUnits/>
        <c:majorUnit val="0.2"/>
        <c:minorUnit val="0.0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525"/>
          <c:y val="0.92925"/>
          <c:w val="0.974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16</xdr:col>
      <xdr:colOff>390525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62475" y="0"/>
        <a:ext cx="59245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13</xdr:col>
      <xdr:colOff>38100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34327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_Elec\EB_Min\IBVS-PE_C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VS"/>
      <sheetName val="OEJV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579" TargetMode="External" /><Relationship Id="rId2" Type="http://schemas.openxmlformats.org/officeDocument/2006/relationships/hyperlink" Target="http://www.konkoly.hu/cgi-bin/IBVS?5579" TargetMode="External" /><Relationship Id="rId3" Type="http://schemas.openxmlformats.org/officeDocument/2006/relationships/hyperlink" Target="http://www.konkoly.hu/cgi-bin/IBVS?5684" TargetMode="External" /><Relationship Id="rId4" Type="http://schemas.openxmlformats.org/officeDocument/2006/relationships/hyperlink" Target="http://www.konkoly.hu/cgi-bin/IBVS?5684" TargetMode="External" /><Relationship Id="rId5" Type="http://schemas.openxmlformats.org/officeDocument/2006/relationships/hyperlink" Target="http://www.konkoly.hu/cgi-bin/IBVS?5684" TargetMode="External" /><Relationship Id="rId6" Type="http://schemas.openxmlformats.org/officeDocument/2006/relationships/hyperlink" Target="http://www.konkoly.hu/cgi-bin/IBVS?5592" TargetMode="External" /><Relationship Id="rId7" Type="http://schemas.openxmlformats.org/officeDocument/2006/relationships/hyperlink" Target="http://www.konkoly.hu/cgi-bin/IBVS?5684" TargetMode="External" /><Relationship Id="rId8" Type="http://schemas.openxmlformats.org/officeDocument/2006/relationships/hyperlink" Target="http://www.konkoly.hu/cgi-bin/IBVS?5684" TargetMode="External" /><Relationship Id="rId9" Type="http://schemas.openxmlformats.org/officeDocument/2006/relationships/hyperlink" Target="http://www.bav-astro.de/sfs/BAVM_link.php?BAVMnr=209" TargetMode="External" /><Relationship Id="rId10" Type="http://schemas.openxmlformats.org/officeDocument/2006/relationships/hyperlink" Target="http://www.konkoly.hu/cgi-bin/IBVS?5894" TargetMode="External" /><Relationship Id="rId11" Type="http://schemas.openxmlformats.org/officeDocument/2006/relationships/hyperlink" Target="http://www.konkoly.hu/cgi-bin/IBVS?5894" TargetMode="External" /><Relationship Id="rId12" Type="http://schemas.openxmlformats.org/officeDocument/2006/relationships/hyperlink" Target="http://www.konkoly.hu/cgi-bin/IBVS?5945" TargetMode="External" /><Relationship Id="rId13" Type="http://schemas.openxmlformats.org/officeDocument/2006/relationships/hyperlink" Target="http://www.bav-astro.de/sfs/BAVM_link.php?BAVMnr=234" TargetMode="External" /><Relationship Id="rId14" Type="http://schemas.openxmlformats.org/officeDocument/2006/relationships/hyperlink" Target="http://www.konkoly.hu/cgi-bin/IBVS?5992" TargetMode="External" /><Relationship Id="rId15" Type="http://schemas.openxmlformats.org/officeDocument/2006/relationships/hyperlink" Target="http://www.bav-astro.de/sfs/BAVM_link.php?BAVMnr=220" TargetMode="External" /><Relationship Id="rId16" Type="http://schemas.openxmlformats.org/officeDocument/2006/relationships/hyperlink" Target="http://www.konkoly.hu/cgi-bin/IBVS?6029" TargetMode="External" /><Relationship Id="rId17" Type="http://schemas.openxmlformats.org/officeDocument/2006/relationships/hyperlink" Target="http://www.konkoly.hu/cgi-bin/IBVS?6029" TargetMode="External" /><Relationship Id="rId18" Type="http://schemas.openxmlformats.org/officeDocument/2006/relationships/hyperlink" Target="http://www.konkoly.hu/cgi-bin/IBVS?6063" TargetMode="External" /><Relationship Id="rId19" Type="http://schemas.openxmlformats.org/officeDocument/2006/relationships/hyperlink" Target="http://www.konkoly.hu/cgi-bin/IBVS?6063" TargetMode="External" /><Relationship Id="rId20" Type="http://schemas.openxmlformats.org/officeDocument/2006/relationships/hyperlink" Target="http://www.konkoly.hu/cgi-bin/IBVS?606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769"/>
  <sheetViews>
    <sheetView tabSelected="1" zoomScalePageLayoutView="0" workbookViewId="0" topLeftCell="A1">
      <pane xSplit="14" ySplit="22" topLeftCell="O32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43</v>
      </c>
      <c r="D1" s="14"/>
    </row>
    <row r="2" spans="1:2" ht="12.75">
      <c r="A2" t="s">
        <v>26</v>
      </c>
      <c r="B2" t="s">
        <v>34</v>
      </c>
    </row>
    <row r="3" spans="1:2" ht="12.75">
      <c r="A3" s="13" t="s">
        <v>35</v>
      </c>
      <c r="B3" t="s">
        <v>36</v>
      </c>
    </row>
    <row r="4" spans="1:4" ht="14.25" thickBot="1" thickTop="1">
      <c r="A4" s="8" t="s">
        <v>0</v>
      </c>
      <c r="C4" s="3">
        <v>27162.3095</v>
      </c>
      <c r="D4" s="4">
        <v>1.24350348</v>
      </c>
    </row>
    <row r="5" spans="1:4" ht="13.5" thickTop="1">
      <c r="A5" s="25" t="s">
        <v>45</v>
      </c>
      <c r="B5" s="15"/>
      <c r="C5" s="26">
        <v>-9.5</v>
      </c>
      <c r="D5" s="15" t="s">
        <v>46</v>
      </c>
    </row>
    <row r="6" ht="12.75">
      <c r="A6" s="8" t="s">
        <v>1</v>
      </c>
    </row>
    <row r="7" spans="1:3" ht="12.75">
      <c r="A7" t="s">
        <v>2</v>
      </c>
      <c r="C7">
        <f>+C4+C8/2</f>
        <v>27162.450165586197</v>
      </c>
    </row>
    <row r="8" spans="1:4" ht="12.75">
      <c r="A8" t="s">
        <v>3</v>
      </c>
      <c r="C8">
        <v>0.28133117239213107</v>
      </c>
      <c r="D8" s="13"/>
    </row>
    <row r="9" spans="1:4" ht="12.75">
      <c r="A9" s="38" t="s">
        <v>51</v>
      </c>
      <c r="B9" s="39">
        <v>22</v>
      </c>
      <c r="C9" s="28" t="str">
        <f>"F"&amp;B9</f>
        <v>F22</v>
      </c>
      <c r="D9" s="24" t="str">
        <f>"G"&amp;B9</f>
        <v>G22</v>
      </c>
    </row>
    <row r="10" spans="1:5" ht="13.5" thickBot="1">
      <c r="A10" s="15"/>
      <c r="B10" s="15"/>
      <c r="C10" s="7" t="s">
        <v>21</v>
      </c>
      <c r="D10" s="7" t="s">
        <v>22</v>
      </c>
      <c r="E10" s="15"/>
    </row>
    <row r="11" spans="1:5" ht="12.75">
      <c r="A11" s="15" t="s">
        <v>16</v>
      </c>
      <c r="B11" s="15"/>
      <c r="C11" s="27">
        <f ca="1">INTERCEPT(INDIRECT($D$9):G991,INDIRECT($C$9):F991)</f>
        <v>0.05064047701053211</v>
      </c>
      <c r="D11" s="6"/>
      <c r="E11" s="15"/>
    </row>
    <row r="12" spans="1:5" ht="12.75">
      <c r="A12" s="15" t="s">
        <v>17</v>
      </c>
      <c r="B12" s="15"/>
      <c r="C12" s="27">
        <f ca="1">SLOPE(INDIRECT($D$9):G991,INDIRECT($C$9):F991)</f>
        <v>-5.934005600863197E-07</v>
      </c>
      <c r="D12" s="6"/>
      <c r="E12" s="15"/>
    </row>
    <row r="13" spans="1:3" ht="12.75">
      <c r="A13" s="15" t="s">
        <v>20</v>
      </c>
      <c r="B13" s="15"/>
      <c r="C13" s="6" t="s">
        <v>14</v>
      </c>
    </row>
    <row r="14" spans="1:3" ht="12.75">
      <c r="A14" s="15"/>
      <c r="B14" s="15"/>
      <c r="C14" s="15"/>
    </row>
    <row r="15" spans="1:6" ht="12.75">
      <c r="A15" s="29" t="s">
        <v>18</v>
      </c>
      <c r="B15" s="15"/>
      <c r="C15" s="30">
        <f>(C7+C11)+(C8+C12)*INT(MAX(F21:F3532))</f>
        <v>56338.73249212105</v>
      </c>
      <c r="E15" s="31" t="s">
        <v>62</v>
      </c>
      <c r="F15" s="26">
        <v>1</v>
      </c>
    </row>
    <row r="16" spans="1:6" ht="12.75">
      <c r="A16" s="33" t="s">
        <v>4</v>
      </c>
      <c r="B16" s="15"/>
      <c r="C16" s="34">
        <f>+C8+C12</f>
        <v>0.281330578991571</v>
      </c>
      <c r="E16" s="31" t="s">
        <v>47</v>
      </c>
      <c r="F16" s="32">
        <f ca="1">NOW()+15018.5+$C$5/24</f>
        <v>59896.59209201389</v>
      </c>
    </row>
    <row r="17" spans="1:6" ht="13.5" thickBot="1">
      <c r="A17" s="31" t="s">
        <v>49</v>
      </c>
      <c r="B17" s="15"/>
      <c r="C17" s="15">
        <f>COUNT(C21:C2190)</f>
        <v>26</v>
      </c>
      <c r="E17" s="31" t="s">
        <v>63</v>
      </c>
      <c r="F17" s="32">
        <f>ROUND(2*(F16-$C$7)/$C$8,0)/2+F15</f>
        <v>116355.5</v>
      </c>
    </row>
    <row r="18" spans="1:6" ht="14.25" thickBot="1" thickTop="1">
      <c r="A18" s="33" t="s">
        <v>5</v>
      </c>
      <c r="B18" s="15"/>
      <c r="C18" s="36">
        <f>+C15</f>
        <v>56338.73249212105</v>
      </c>
      <c r="D18" s="37">
        <f>+C16</f>
        <v>0.281330578991571</v>
      </c>
      <c r="E18" s="31" t="s">
        <v>48</v>
      </c>
      <c r="F18" s="24">
        <f>ROUND(2*(F16-$C$15)/$C$16,0)/2+F15</f>
        <v>12647.5</v>
      </c>
    </row>
    <row r="19" spans="5:6" ht="13.5" thickTop="1">
      <c r="E19" s="31" t="s">
        <v>50</v>
      </c>
      <c r="F19" s="35">
        <f>+$C$15+$C$16*F18-15018.5-$C$5/24</f>
        <v>44878.75682325028</v>
      </c>
    </row>
    <row r="20" spans="1:21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71</v>
      </c>
      <c r="I20" s="10" t="s">
        <v>74</v>
      </c>
      <c r="J20" s="10" t="s">
        <v>68</v>
      </c>
      <c r="K20" s="10" t="s">
        <v>66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  <c r="U20" s="66" t="s">
        <v>153</v>
      </c>
    </row>
    <row r="21" spans="1:17" ht="12.75">
      <c r="A21" t="s">
        <v>12</v>
      </c>
      <c r="C21" s="11">
        <v>27162.3095</v>
      </c>
      <c r="D21" s="11" t="s">
        <v>14</v>
      </c>
      <c r="E21">
        <f aca="true" t="shared" si="0" ref="E21:E40">+(C21-C$7)/C$8</f>
        <v>-0.5000000000048452</v>
      </c>
      <c r="F21">
        <f aca="true" t="shared" si="1" ref="F21:F46">ROUND(2*E21,0)/2</f>
        <v>-0.5</v>
      </c>
      <c r="G21">
        <f aca="true" t="shared" si="2" ref="G21:G32">+C21-(C$7+F21*C$8)</f>
        <v>0</v>
      </c>
      <c r="H21">
        <f>+G21</f>
        <v>0</v>
      </c>
      <c r="O21">
        <f aca="true" t="shared" si="3" ref="O21:O40">+C$11+C$12*F21</f>
        <v>0.05064077371081216</v>
      </c>
      <c r="Q21" s="2">
        <f aca="true" t="shared" si="4" ref="Q21:Q40">+C21-15018.5</f>
        <v>12143.8095</v>
      </c>
    </row>
    <row r="22" spans="1:18" ht="12.75">
      <c r="A22" t="s">
        <v>32</v>
      </c>
      <c r="B22" s="6" t="s">
        <v>30</v>
      </c>
      <c r="C22" s="11">
        <v>51924.514</v>
      </c>
      <c r="D22" s="11">
        <v>0.002</v>
      </c>
      <c r="E22">
        <f t="shared" si="0"/>
        <v>88017.49064586207</v>
      </c>
      <c r="F22">
        <f t="shared" si="1"/>
        <v>88017.5</v>
      </c>
      <c r="G22">
        <f t="shared" si="2"/>
        <v>-0.002631610586831812</v>
      </c>
      <c r="H22" s="11"/>
      <c r="K22">
        <f aca="true" t="shared" si="5" ref="K22:K32">G22</f>
        <v>-0.002631610586831812</v>
      </c>
      <c r="O22">
        <f t="shared" si="3"/>
        <v>-0.0015891567868655254</v>
      </c>
      <c r="Q22" s="2">
        <f t="shared" si="4"/>
        <v>36906.014</v>
      </c>
      <c r="R22" t="s">
        <v>66</v>
      </c>
    </row>
    <row r="23" spans="1:18" ht="12.75">
      <c r="A23" t="s">
        <v>32</v>
      </c>
      <c r="B23" s="6" t="s">
        <v>30</v>
      </c>
      <c r="C23" s="11">
        <v>51924.517</v>
      </c>
      <c r="D23" s="11">
        <v>0.001</v>
      </c>
      <c r="E23">
        <f t="shared" si="0"/>
        <v>88017.50130945108</v>
      </c>
      <c r="F23">
        <f t="shared" si="1"/>
        <v>88017.5</v>
      </c>
      <c r="G23">
        <f t="shared" si="2"/>
        <v>0.0003683894101413898</v>
      </c>
      <c r="H23" s="11"/>
      <c r="K23">
        <f t="shared" si="5"/>
        <v>0.0003683894101413898</v>
      </c>
      <c r="O23">
        <f t="shared" si="3"/>
        <v>-0.0015891567868655254</v>
      </c>
      <c r="Q23" s="2">
        <f t="shared" si="4"/>
        <v>36906.017</v>
      </c>
      <c r="R23" t="s">
        <v>66</v>
      </c>
    </row>
    <row r="24" spans="1:18" ht="12.75">
      <c r="A24" t="s">
        <v>32</v>
      </c>
      <c r="B24" s="6" t="s">
        <v>31</v>
      </c>
      <c r="C24" s="11">
        <v>51925.4972</v>
      </c>
      <c r="D24" s="11">
        <v>0.0016</v>
      </c>
      <c r="E24">
        <f t="shared" si="0"/>
        <v>88020.98545943582</v>
      </c>
      <c r="F24">
        <f t="shared" si="1"/>
        <v>88021</v>
      </c>
      <c r="G24">
        <f t="shared" si="2"/>
        <v>-0.004090713962796144</v>
      </c>
      <c r="H24" s="11"/>
      <c r="K24">
        <f t="shared" si="5"/>
        <v>-0.004090713962796144</v>
      </c>
      <c r="O24">
        <f t="shared" si="3"/>
        <v>-0.001591233688825834</v>
      </c>
      <c r="Q24" s="2">
        <f t="shared" si="4"/>
        <v>36906.9972</v>
      </c>
      <c r="R24" t="s">
        <v>66</v>
      </c>
    </row>
    <row r="25" spans="1:18" ht="12.75">
      <c r="A25" t="s">
        <v>32</v>
      </c>
      <c r="B25" s="6" t="s">
        <v>31</v>
      </c>
      <c r="C25" s="11">
        <v>51925.4982</v>
      </c>
      <c r="D25" s="11">
        <v>0.0007</v>
      </c>
      <c r="E25">
        <f t="shared" si="0"/>
        <v>88020.9890139655</v>
      </c>
      <c r="F25">
        <f t="shared" si="1"/>
        <v>88021</v>
      </c>
      <c r="G25">
        <f t="shared" si="2"/>
        <v>-0.0030907139589544386</v>
      </c>
      <c r="H25" s="11"/>
      <c r="K25">
        <f t="shared" si="5"/>
        <v>-0.0030907139589544386</v>
      </c>
      <c r="O25">
        <f t="shared" si="3"/>
        <v>-0.001591233688825834</v>
      </c>
      <c r="Q25" s="2">
        <f t="shared" si="4"/>
        <v>36906.9982</v>
      </c>
      <c r="R25" t="s">
        <v>66</v>
      </c>
    </row>
    <row r="26" spans="1:18" ht="12.75">
      <c r="A26" t="s">
        <v>32</v>
      </c>
      <c r="B26" s="6" t="s">
        <v>30</v>
      </c>
      <c r="C26" s="11">
        <v>51952.648</v>
      </c>
      <c r="D26" s="11">
        <v>0.0004</v>
      </c>
      <c r="E26">
        <f t="shared" si="0"/>
        <v>88117.49378366147</v>
      </c>
      <c r="F26">
        <f t="shared" si="1"/>
        <v>88117.5</v>
      </c>
      <c r="G26">
        <f t="shared" si="2"/>
        <v>-0.0017488498051534407</v>
      </c>
      <c r="H26" s="11"/>
      <c r="K26">
        <f t="shared" si="5"/>
        <v>-0.0017488498051534407</v>
      </c>
      <c r="O26">
        <f t="shared" si="3"/>
        <v>-0.0016484968428741587</v>
      </c>
      <c r="Q26" s="2">
        <f t="shared" si="4"/>
        <v>36934.148</v>
      </c>
      <c r="R26" t="s">
        <v>66</v>
      </c>
    </row>
    <row r="27" spans="1:18" ht="12.75">
      <c r="A27" s="15" t="s">
        <v>38</v>
      </c>
      <c r="B27" s="16" t="s">
        <v>30</v>
      </c>
      <c r="C27" s="21">
        <v>52731.3728</v>
      </c>
      <c r="D27" s="23">
        <v>0.0002</v>
      </c>
      <c r="E27">
        <f t="shared" si="0"/>
        <v>90885.49419178751</v>
      </c>
      <c r="F27">
        <f t="shared" si="1"/>
        <v>90885.5</v>
      </c>
      <c r="G27">
        <f t="shared" si="2"/>
        <v>-0.0016340312286047265</v>
      </c>
      <c r="K27">
        <f t="shared" si="5"/>
        <v>-0.0016340312286047265</v>
      </c>
      <c r="O27">
        <f t="shared" si="3"/>
        <v>-0.0032910295931930927</v>
      </c>
      <c r="Q27" s="2">
        <f t="shared" si="4"/>
        <v>37712.8728</v>
      </c>
      <c r="R27" t="s">
        <v>66</v>
      </c>
    </row>
    <row r="28" spans="1:18" ht="12.75">
      <c r="A28" s="15" t="s">
        <v>38</v>
      </c>
      <c r="B28" s="16" t="s">
        <v>31</v>
      </c>
      <c r="C28" s="21">
        <v>52731.5132</v>
      </c>
      <c r="D28" s="23">
        <v>0.0004</v>
      </c>
      <c r="E28">
        <f t="shared" si="0"/>
        <v>90885.99324775352</v>
      </c>
      <c r="F28">
        <f t="shared" si="1"/>
        <v>90886</v>
      </c>
      <c r="G28">
        <f t="shared" si="2"/>
        <v>-0.0018996174185303971</v>
      </c>
      <c r="K28">
        <f t="shared" si="5"/>
        <v>-0.0018996174185303971</v>
      </c>
      <c r="O28">
        <f t="shared" si="3"/>
        <v>-0.003291326293473139</v>
      </c>
      <c r="Q28" s="2">
        <f t="shared" si="4"/>
        <v>37713.0132</v>
      </c>
      <c r="R28" t="s">
        <v>66</v>
      </c>
    </row>
    <row r="29" spans="1:18" ht="12.75">
      <c r="A29" s="20" t="s">
        <v>41</v>
      </c>
      <c r="B29" s="16" t="s">
        <v>30</v>
      </c>
      <c r="C29" s="21">
        <v>53081.347</v>
      </c>
      <c r="D29" s="22">
        <v>0.001</v>
      </c>
      <c r="E29">
        <f t="shared" si="0"/>
        <v>92129.48787021358</v>
      </c>
      <c r="F29">
        <f t="shared" si="1"/>
        <v>92129.5</v>
      </c>
      <c r="G29">
        <f t="shared" si="2"/>
        <v>-0.0034124870362575166</v>
      </c>
      <c r="K29">
        <f t="shared" si="5"/>
        <v>-0.0034124870362575166</v>
      </c>
      <c r="O29">
        <f t="shared" si="3"/>
        <v>-0.004029219889940476</v>
      </c>
      <c r="Q29" s="2">
        <f t="shared" si="4"/>
        <v>38062.847</v>
      </c>
      <c r="R29" t="s">
        <v>66</v>
      </c>
    </row>
    <row r="30" spans="1:18" ht="12.75">
      <c r="A30" s="20" t="s">
        <v>41</v>
      </c>
      <c r="B30" s="16" t="s">
        <v>31</v>
      </c>
      <c r="C30" s="21">
        <v>53081.4897</v>
      </c>
      <c r="D30" s="22">
        <v>0.0002</v>
      </c>
      <c r="E30">
        <f t="shared" si="0"/>
        <v>92129.9951015978</v>
      </c>
      <c r="F30">
        <f t="shared" si="1"/>
        <v>92130</v>
      </c>
      <c r="G30">
        <f t="shared" si="2"/>
        <v>-0.001378073233354371</v>
      </c>
      <c r="K30">
        <f t="shared" si="5"/>
        <v>-0.001378073233354371</v>
      </c>
      <c r="O30">
        <f t="shared" si="3"/>
        <v>-0.004029516590220515</v>
      </c>
      <c r="Q30" s="2">
        <f t="shared" si="4"/>
        <v>38062.9897</v>
      </c>
      <c r="R30" t="s">
        <v>66</v>
      </c>
    </row>
    <row r="31" spans="1:18" ht="12.75">
      <c r="A31" s="20" t="s">
        <v>41</v>
      </c>
      <c r="B31" s="16" t="s">
        <v>30</v>
      </c>
      <c r="C31" s="21">
        <v>53081.6283</v>
      </c>
      <c r="D31" s="22">
        <v>0.0004</v>
      </c>
      <c r="E31">
        <f t="shared" si="0"/>
        <v>92130.48775941037</v>
      </c>
      <c r="F31">
        <f t="shared" si="1"/>
        <v>92130.5</v>
      </c>
      <c r="G31">
        <f t="shared" si="2"/>
        <v>-0.0034436594287399203</v>
      </c>
      <c r="K31">
        <f t="shared" si="5"/>
        <v>-0.0034436594287399203</v>
      </c>
      <c r="O31">
        <f t="shared" si="3"/>
        <v>-0.004029813290500561</v>
      </c>
      <c r="Q31" s="2">
        <f t="shared" si="4"/>
        <v>38063.1283</v>
      </c>
      <c r="R31" t="s">
        <v>66</v>
      </c>
    </row>
    <row r="32" spans="1:18" ht="12.75">
      <c r="A32" t="s">
        <v>37</v>
      </c>
      <c r="B32" s="6" t="s">
        <v>30</v>
      </c>
      <c r="C32" s="11">
        <v>53123.266</v>
      </c>
      <c r="D32" s="11">
        <v>0.0005</v>
      </c>
      <c r="E32">
        <f t="shared" si="0"/>
        <v>92278.49019954512</v>
      </c>
      <c r="F32">
        <f t="shared" si="1"/>
        <v>92278.5</v>
      </c>
      <c r="G32">
        <f t="shared" si="2"/>
        <v>-0.0027571734608500265</v>
      </c>
      <c r="K32">
        <f t="shared" si="5"/>
        <v>-0.0027571734608500265</v>
      </c>
      <c r="O32">
        <f t="shared" si="3"/>
        <v>-0.004117636573393334</v>
      </c>
      <c r="Q32" s="2">
        <f t="shared" si="4"/>
        <v>38104.766</v>
      </c>
      <c r="R32" t="s">
        <v>66</v>
      </c>
    </row>
    <row r="33" spans="1:21" ht="12.75">
      <c r="A33" s="20" t="s">
        <v>41</v>
      </c>
      <c r="B33" s="16" t="s">
        <v>31</v>
      </c>
      <c r="C33" s="21">
        <v>53464.386</v>
      </c>
      <c r="D33" s="22">
        <v>0.001</v>
      </c>
      <c r="E33">
        <f t="shared" si="0"/>
        <v>93491.01136134702</v>
      </c>
      <c r="F33">
        <f t="shared" si="1"/>
        <v>93491</v>
      </c>
      <c r="O33">
        <f t="shared" si="3"/>
        <v>-0.004837134752498001</v>
      </c>
      <c r="Q33" s="2">
        <f t="shared" si="4"/>
        <v>38445.886</v>
      </c>
      <c r="R33" t="s">
        <v>66</v>
      </c>
      <c r="U33" s="24">
        <v>0.003196301076968666</v>
      </c>
    </row>
    <row r="34" spans="1:18" ht="12.75">
      <c r="A34" s="40" t="s">
        <v>41</v>
      </c>
      <c r="B34" s="41" t="s">
        <v>30</v>
      </c>
      <c r="C34" s="42">
        <v>53464.5183</v>
      </c>
      <c r="D34" s="43">
        <v>0.0007</v>
      </c>
      <c r="E34">
        <f t="shared" si="0"/>
        <v>93491.48162562268</v>
      </c>
      <c r="F34">
        <f t="shared" si="1"/>
        <v>93491.5</v>
      </c>
      <c r="G34">
        <f aca="true" t="shared" si="6" ref="G34:G40">+C34-(C$7+F34*C$8)</f>
        <v>-0.005169285119336564</v>
      </c>
      <c r="K34">
        <f>G34</f>
        <v>-0.005169285119336564</v>
      </c>
      <c r="O34">
        <f t="shared" si="3"/>
        <v>-0.00483743145277804</v>
      </c>
      <c r="Q34" s="2">
        <f t="shared" si="4"/>
        <v>38446.0183</v>
      </c>
      <c r="R34" t="s">
        <v>66</v>
      </c>
    </row>
    <row r="35" spans="1:18" ht="12.75">
      <c r="A35" s="44" t="s">
        <v>53</v>
      </c>
      <c r="B35" s="45" t="s">
        <v>30</v>
      </c>
      <c r="C35" s="44">
        <v>54831.6443</v>
      </c>
      <c r="D35" s="44" t="s">
        <v>54</v>
      </c>
      <c r="E35">
        <f t="shared" si="0"/>
        <v>98350.97155834311</v>
      </c>
      <c r="F35">
        <f t="shared" si="1"/>
        <v>98351</v>
      </c>
      <c r="G35">
        <f t="shared" si="6"/>
        <v>-0.008001524678547867</v>
      </c>
      <c r="J35">
        <f>G35</f>
        <v>-0.008001524678547867</v>
      </c>
      <c r="O35">
        <f t="shared" si="3"/>
        <v>-0.00772106147451751</v>
      </c>
      <c r="Q35" s="2">
        <f t="shared" si="4"/>
        <v>39813.1443</v>
      </c>
      <c r="R35" t="s">
        <v>68</v>
      </c>
    </row>
    <row r="36" spans="1:18" ht="12.75">
      <c r="A36" s="44" t="s">
        <v>44</v>
      </c>
      <c r="B36" s="45" t="s">
        <v>30</v>
      </c>
      <c r="C36" s="44">
        <v>54881.8582</v>
      </c>
      <c r="D36" s="44">
        <v>0.0004</v>
      </c>
      <c r="E36">
        <f t="shared" si="0"/>
        <v>98529.45835585309</v>
      </c>
      <c r="F36">
        <f t="shared" si="1"/>
        <v>98529.5</v>
      </c>
      <c r="G36">
        <f t="shared" si="6"/>
        <v>-0.011715796674252488</v>
      </c>
      <c r="K36">
        <f>G36</f>
        <v>-0.011715796674252488</v>
      </c>
      <c r="O36">
        <f t="shared" si="3"/>
        <v>-0.00782698347449292</v>
      </c>
      <c r="Q36" s="2">
        <f t="shared" si="4"/>
        <v>39863.3582</v>
      </c>
      <c r="R36" t="s">
        <v>66</v>
      </c>
    </row>
    <row r="37" spans="1:18" ht="12.75">
      <c r="A37" s="44" t="s">
        <v>44</v>
      </c>
      <c r="B37" s="45" t="s">
        <v>31</v>
      </c>
      <c r="C37" s="44">
        <v>54957.6775</v>
      </c>
      <c r="D37" s="44">
        <v>0.0011</v>
      </c>
      <c r="E37">
        <f t="shared" si="0"/>
        <v>98798.96030743318</v>
      </c>
      <c r="F37">
        <f t="shared" si="1"/>
        <v>98799</v>
      </c>
      <c r="G37">
        <f t="shared" si="6"/>
        <v>-0.011166756354214158</v>
      </c>
      <c r="K37">
        <f>G37</f>
        <v>-0.011166756354214158</v>
      </c>
      <c r="O37">
        <f t="shared" si="3"/>
        <v>-0.007986904925436182</v>
      </c>
      <c r="Q37" s="2">
        <f t="shared" si="4"/>
        <v>39939.1775</v>
      </c>
      <c r="R37" t="s">
        <v>66</v>
      </c>
    </row>
    <row r="38" spans="1:18" ht="12.75">
      <c r="A38" s="44" t="s">
        <v>52</v>
      </c>
      <c r="B38" s="45" t="s">
        <v>31</v>
      </c>
      <c r="C38" s="44">
        <v>55276.707</v>
      </c>
      <c r="D38" s="44">
        <v>0.0005</v>
      </c>
      <c r="E38">
        <f t="shared" si="0"/>
        <v>99932.96013151002</v>
      </c>
      <c r="F38">
        <f t="shared" si="1"/>
        <v>99933</v>
      </c>
      <c r="G38">
        <f t="shared" si="6"/>
        <v>-0.011216249033168424</v>
      </c>
      <c r="K38">
        <f>G38</f>
        <v>-0.011216249033168424</v>
      </c>
      <c r="O38">
        <f t="shared" si="3"/>
        <v>-0.008659821160574073</v>
      </c>
      <c r="Q38" s="2">
        <f t="shared" si="4"/>
        <v>40258.207</v>
      </c>
      <c r="R38" t="s">
        <v>66</v>
      </c>
    </row>
    <row r="39" spans="1:18" ht="12.75">
      <c r="A39" s="44" t="s">
        <v>55</v>
      </c>
      <c r="B39" s="45" t="s">
        <v>30</v>
      </c>
      <c r="C39" s="44">
        <v>55615.8518</v>
      </c>
      <c r="D39" s="44">
        <v>0.0009</v>
      </c>
      <c r="E39">
        <f t="shared" si="0"/>
        <v>101138.46038630325</v>
      </c>
      <c r="F39">
        <f t="shared" si="1"/>
        <v>101138.5</v>
      </c>
      <c r="G39">
        <f t="shared" si="6"/>
        <v>-0.011144567746669054</v>
      </c>
      <c r="K39">
        <f>G39</f>
        <v>-0.011144567746669054</v>
      </c>
      <c r="O39">
        <f t="shared" si="3"/>
        <v>-0.00937516553575813</v>
      </c>
      <c r="Q39" s="2">
        <f t="shared" si="4"/>
        <v>40597.3518</v>
      </c>
      <c r="R39" t="s">
        <v>66</v>
      </c>
    </row>
    <row r="40" spans="1:18" ht="12.75">
      <c r="A40" s="44" t="s">
        <v>56</v>
      </c>
      <c r="B40" s="45" t="s">
        <v>30</v>
      </c>
      <c r="C40" s="44">
        <v>55628.5127</v>
      </c>
      <c r="D40" s="44" t="s">
        <v>57</v>
      </c>
      <c r="E40">
        <f t="shared" si="0"/>
        <v>101183.4639310308</v>
      </c>
      <c r="F40">
        <f t="shared" si="1"/>
        <v>101183.5</v>
      </c>
      <c r="G40">
        <f t="shared" si="6"/>
        <v>-0.010147325396246742</v>
      </c>
      <c r="J40">
        <f>G40</f>
        <v>-0.010147325396246742</v>
      </c>
      <c r="O40">
        <f t="shared" si="3"/>
        <v>-0.009401868560962014</v>
      </c>
      <c r="Q40" s="2">
        <f t="shared" si="4"/>
        <v>40610.0127</v>
      </c>
      <c r="R40" t="s">
        <v>68</v>
      </c>
    </row>
    <row r="41" spans="1:18" ht="12.75">
      <c r="A41" s="46" t="s">
        <v>58</v>
      </c>
      <c r="B41" s="47" t="s">
        <v>30</v>
      </c>
      <c r="C41" s="46">
        <v>55981.8645</v>
      </c>
      <c r="D41" s="46">
        <v>0.0004</v>
      </c>
      <c r="E41">
        <f aca="true" t="shared" si="7" ref="E41:E46">+(C41-C$7)/C$8</f>
        <v>102439.46338887789</v>
      </c>
      <c r="F41">
        <f t="shared" si="1"/>
        <v>102439.5</v>
      </c>
      <c r="G41">
        <f aca="true" t="shared" si="8" ref="G41:G46">+C41-(C$7+F41*C$8)</f>
        <v>-0.010299849898729008</v>
      </c>
      <c r="K41">
        <f aca="true" t="shared" si="9" ref="K41:K46">G41</f>
        <v>-0.010299849898729008</v>
      </c>
      <c r="O41">
        <f aca="true" t="shared" si="10" ref="O41:O46">+C$11+C$12*F41</f>
        <v>-0.010147179664430434</v>
      </c>
      <c r="Q41" s="2">
        <f aca="true" t="shared" si="11" ref="Q41:Q46">+C41-15018.5</f>
        <v>40963.3645</v>
      </c>
      <c r="R41" t="s">
        <v>66</v>
      </c>
    </row>
    <row r="42" spans="1:18" ht="12.75">
      <c r="A42" s="46" t="s">
        <v>58</v>
      </c>
      <c r="B42" s="47" t="s">
        <v>31</v>
      </c>
      <c r="C42" s="46">
        <v>56048.6829</v>
      </c>
      <c r="D42" s="46">
        <v>0.0013</v>
      </c>
      <c r="E42">
        <f t="shared" si="7"/>
        <v>102676.97137433094</v>
      </c>
      <c r="F42">
        <f t="shared" si="1"/>
        <v>102677</v>
      </c>
      <c r="G42">
        <f t="shared" si="8"/>
        <v>-0.008053293036937248</v>
      </c>
      <c r="K42">
        <f t="shared" si="9"/>
        <v>-0.008053293036937248</v>
      </c>
      <c r="O42">
        <f t="shared" si="10"/>
        <v>-0.010288112297450934</v>
      </c>
      <c r="Q42" s="2">
        <f t="shared" si="11"/>
        <v>41030.1829</v>
      </c>
      <c r="R42" t="s">
        <v>66</v>
      </c>
    </row>
    <row r="43" spans="1:18" ht="12.75">
      <c r="A43" s="48" t="s">
        <v>59</v>
      </c>
      <c r="B43" s="47" t="s">
        <v>60</v>
      </c>
      <c r="C43" s="46">
        <v>56338.8744</v>
      </c>
      <c r="D43" s="46">
        <v>0.00038</v>
      </c>
      <c r="E43">
        <f t="shared" si="7"/>
        <v>103708.46567171907</v>
      </c>
      <c r="F43">
        <f t="shared" si="1"/>
        <v>103708.5</v>
      </c>
      <c r="G43">
        <f t="shared" si="8"/>
        <v>-0.009657615519245155</v>
      </c>
      <c r="K43">
        <f t="shared" si="9"/>
        <v>-0.009657615519245155</v>
      </c>
      <c r="O43">
        <f t="shared" si="10"/>
        <v>-0.010900204975179968</v>
      </c>
      <c r="Q43" s="2">
        <f t="shared" si="11"/>
        <v>41320.3744</v>
      </c>
      <c r="R43" t="s">
        <v>66</v>
      </c>
    </row>
    <row r="44" spans="1:18" ht="12.75">
      <c r="A44" s="48" t="s">
        <v>59</v>
      </c>
      <c r="B44" s="47" t="s">
        <v>60</v>
      </c>
      <c r="C44" s="46">
        <v>56338.87443</v>
      </c>
      <c r="D44" s="46">
        <v>0.00067</v>
      </c>
      <c r="E44">
        <f t="shared" si="7"/>
        <v>103708.46577835496</v>
      </c>
      <c r="F44">
        <f t="shared" si="1"/>
        <v>103708.5</v>
      </c>
      <c r="G44">
        <f t="shared" si="8"/>
        <v>-0.00962761551636504</v>
      </c>
      <c r="K44">
        <f t="shared" si="9"/>
        <v>-0.00962761551636504</v>
      </c>
      <c r="O44">
        <f t="shared" si="10"/>
        <v>-0.010900204975179968</v>
      </c>
      <c r="Q44" s="2">
        <f t="shared" si="11"/>
        <v>41320.37443</v>
      </c>
      <c r="R44" t="s">
        <v>66</v>
      </c>
    </row>
    <row r="45" spans="1:18" ht="12.75">
      <c r="A45" s="48" t="s">
        <v>59</v>
      </c>
      <c r="B45" s="47" t="s">
        <v>60</v>
      </c>
      <c r="C45" s="46">
        <v>56338.87483</v>
      </c>
      <c r="D45" s="46">
        <v>0.00032</v>
      </c>
      <c r="E45">
        <f t="shared" si="7"/>
        <v>103708.46720016682</v>
      </c>
      <c r="F45">
        <f t="shared" si="1"/>
        <v>103708.5</v>
      </c>
      <c r="G45">
        <f t="shared" si="8"/>
        <v>-0.009227615519193932</v>
      </c>
      <c r="K45">
        <f t="shared" si="9"/>
        <v>-0.009227615519193932</v>
      </c>
      <c r="O45">
        <f t="shared" si="10"/>
        <v>-0.010900204975179968</v>
      </c>
      <c r="Q45" s="2">
        <f t="shared" si="11"/>
        <v>41320.37483</v>
      </c>
      <c r="R45" t="s">
        <v>66</v>
      </c>
    </row>
    <row r="46" spans="1:18" ht="12.75">
      <c r="A46" s="49" t="s">
        <v>61</v>
      </c>
      <c r="B46" s="50" t="s">
        <v>31</v>
      </c>
      <c r="C46" s="51">
        <v>55279.3836</v>
      </c>
      <c r="D46" s="52">
        <v>0.0002</v>
      </c>
      <c r="E46">
        <f t="shared" si="7"/>
        <v>99942.47418563078</v>
      </c>
      <c r="F46">
        <f t="shared" si="1"/>
        <v>99942.5</v>
      </c>
      <c r="G46">
        <f t="shared" si="8"/>
        <v>-0.007262386759975925</v>
      </c>
      <c r="K46">
        <f t="shared" si="9"/>
        <v>-0.007262386759975925</v>
      </c>
      <c r="O46">
        <f t="shared" si="10"/>
        <v>-0.008665458465894893</v>
      </c>
      <c r="Q46" s="2">
        <f t="shared" si="11"/>
        <v>40260.8836</v>
      </c>
      <c r="R46" t="s">
        <v>68</v>
      </c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J20" sqref="J2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40</v>
      </c>
      <c r="D1" s="14"/>
    </row>
    <row r="2" spans="1:2" ht="12.75">
      <c r="A2" t="s">
        <v>26</v>
      </c>
      <c r="B2" t="s">
        <v>34</v>
      </c>
    </row>
    <row r="3" spans="1:2" ht="12.75">
      <c r="A3" s="13" t="s">
        <v>35</v>
      </c>
      <c r="B3" t="s">
        <v>36</v>
      </c>
    </row>
    <row r="4" spans="1:4" ht="12.75">
      <c r="A4" s="8" t="s">
        <v>0</v>
      </c>
      <c r="C4" s="3">
        <v>27162.3095</v>
      </c>
      <c r="D4" s="4">
        <v>1.24350348</v>
      </c>
    </row>
    <row r="6" ht="12.75">
      <c r="A6" s="8" t="s">
        <v>1</v>
      </c>
    </row>
    <row r="7" spans="1:3" ht="12.75">
      <c r="A7" t="s">
        <v>2</v>
      </c>
      <c r="C7">
        <f>+C4+C8/2</f>
        <v>27162.45017</v>
      </c>
    </row>
    <row r="8" spans="1:4" ht="12.75">
      <c r="A8" t="s">
        <v>3</v>
      </c>
      <c r="C8">
        <v>0.28134</v>
      </c>
      <c r="D8" s="13" t="s">
        <v>32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>
        <f>INTERCEPT(G22:G93,F22:F93)</f>
        <v>0.8368704431004196</v>
      </c>
      <c r="D11" s="6"/>
    </row>
    <row r="12" spans="1:4" ht="12.75">
      <c r="A12" t="s">
        <v>17</v>
      </c>
      <c r="C12">
        <f>SLOPE(G22:G93,F22:F93)</f>
        <v>-8.773103514212215E-06</v>
      </c>
      <c r="D12" s="6"/>
    </row>
    <row r="13" spans="1:4" ht="12.75">
      <c r="A13" t="s">
        <v>20</v>
      </c>
      <c r="C13" s="6" t="s">
        <v>14</v>
      </c>
      <c r="D13" s="6"/>
    </row>
    <row r="14" ht="12.75">
      <c r="A14" t="s">
        <v>25</v>
      </c>
    </row>
    <row r="15" spans="1:4" ht="12.75">
      <c r="A15" s="5" t="s">
        <v>18</v>
      </c>
      <c r="C15">
        <f>+D15-C8/2</f>
        <v>53123.12533</v>
      </c>
      <c r="D15">
        <v>53123.266</v>
      </c>
    </row>
    <row r="16" spans="1:3" ht="12.75">
      <c r="A16" s="8" t="s">
        <v>4</v>
      </c>
      <c r="C16">
        <f>+C8+C12</f>
        <v>0.28133122689648576</v>
      </c>
    </row>
    <row r="17" ht="13.5" thickBot="1"/>
    <row r="18" spans="1:4" ht="12.75">
      <c r="A18" s="8" t="s">
        <v>5</v>
      </c>
      <c r="C18" s="3">
        <f>+C15</f>
        <v>53123.12533</v>
      </c>
      <c r="D18" s="4">
        <f>+C16</f>
        <v>0.28133122689648576</v>
      </c>
    </row>
    <row r="19" ht="13.5" thickTop="1">
      <c r="C19">
        <f>COUNT(C21:C1557)</f>
        <v>15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33</v>
      </c>
      <c r="J20" s="10" t="s">
        <v>42</v>
      </c>
      <c r="K20" s="10" t="s">
        <v>19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>
        <v>27162.3095</v>
      </c>
      <c r="D21" s="6" t="s">
        <v>14</v>
      </c>
      <c r="E21">
        <f aca="true" t="shared" si="0" ref="E21:E35">+(C21-C$7)/C$8</f>
        <v>-0.5000000000024248</v>
      </c>
      <c r="F21">
        <v>-3.5</v>
      </c>
      <c r="G21">
        <f aca="true" t="shared" si="1" ref="G21:G35">+C21-(C$7+F21*C$8)</f>
        <v>0.8440200000004552</v>
      </c>
      <c r="H21">
        <f>+G21</f>
        <v>0.8440200000004552</v>
      </c>
      <c r="O21">
        <f aca="true" t="shared" si="2" ref="O21:O35">+C$11+C$12*F21</f>
        <v>0.8369011489627193</v>
      </c>
      <c r="Q21" s="2">
        <f aca="true" t="shared" si="3" ref="Q21:Q35">+C21-15018.5</f>
        <v>12143.8095</v>
      </c>
    </row>
    <row r="22" spans="1:17" ht="12.75">
      <c r="A22" t="s">
        <v>32</v>
      </c>
      <c r="B22" s="6" t="s">
        <v>30</v>
      </c>
      <c r="C22" s="12">
        <v>51924.514</v>
      </c>
      <c r="D22" s="6">
        <v>0.002</v>
      </c>
      <c r="E22">
        <f t="shared" si="0"/>
        <v>88014.72890452834</v>
      </c>
      <c r="F22">
        <f aca="true" t="shared" si="4" ref="F22:F35">ROUND(2*E22,0)/2</f>
        <v>88014.5</v>
      </c>
      <c r="G22">
        <f t="shared" si="1"/>
        <v>0.06440000000293367</v>
      </c>
      <c r="H22" s="11"/>
      <c r="I22">
        <f aca="true" t="shared" si="5" ref="I22:I34">G22</f>
        <v>0.06440000000293367</v>
      </c>
      <c r="O22">
        <f t="shared" si="2"/>
        <v>0.0647101238487886</v>
      </c>
      <c r="Q22" s="2">
        <f t="shared" si="3"/>
        <v>36906.014</v>
      </c>
    </row>
    <row r="23" spans="1:17" ht="12.75">
      <c r="A23" t="s">
        <v>32</v>
      </c>
      <c r="B23" s="6" t="s">
        <v>30</v>
      </c>
      <c r="C23" s="12">
        <v>51924.517</v>
      </c>
      <c r="D23" s="6">
        <v>0.001</v>
      </c>
      <c r="E23">
        <f t="shared" si="0"/>
        <v>88014.73956778276</v>
      </c>
      <c r="F23">
        <f t="shared" si="4"/>
        <v>88014.5</v>
      </c>
      <c r="G23">
        <f t="shared" si="1"/>
        <v>0.06739999999990687</v>
      </c>
      <c r="H23" s="11"/>
      <c r="I23">
        <f t="shared" si="5"/>
        <v>0.06739999999990687</v>
      </c>
      <c r="O23">
        <f t="shared" si="2"/>
        <v>0.0647101238487886</v>
      </c>
      <c r="Q23" s="2">
        <f t="shared" si="3"/>
        <v>36906.017</v>
      </c>
    </row>
    <row r="24" spans="1:17" ht="12.75">
      <c r="A24" t="s">
        <v>32</v>
      </c>
      <c r="B24" s="6" t="s">
        <v>31</v>
      </c>
      <c r="C24" s="12">
        <v>51925.4972</v>
      </c>
      <c r="D24" s="6">
        <v>0.0016</v>
      </c>
      <c r="E24">
        <f t="shared" si="0"/>
        <v>88018.2236084453</v>
      </c>
      <c r="F24">
        <f t="shared" si="4"/>
        <v>88018</v>
      </c>
      <c r="G24">
        <f t="shared" si="1"/>
        <v>0.06291000000055647</v>
      </c>
      <c r="H24" s="11"/>
      <c r="I24">
        <f t="shared" si="5"/>
        <v>0.06291000000055647</v>
      </c>
      <c r="O24">
        <f t="shared" si="2"/>
        <v>0.0646794179864888</v>
      </c>
      <c r="Q24" s="2">
        <f t="shared" si="3"/>
        <v>36906.9972</v>
      </c>
    </row>
    <row r="25" spans="1:17" ht="12.75">
      <c r="A25" t="s">
        <v>32</v>
      </c>
      <c r="B25" s="6" t="s">
        <v>31</v>
      </c>
      <c r="C25" s="12">
        <v>51925.4982</v>
      </c>
      <c r="D25" s="6">
        <v>0.0007</v>
      </c>
      <c r="E25">
        <f t="shared" si="0"/>
        <v>88018.22716286345</v>
      </c>
      <c r="F25">
        <f t="shared" si="4"/>
        <v>88018</v>
      </c>
      <c r="G25">
        <f t="shared" si="1"/>
        <v>0.06391000000439817</v>
      </c>
      <c r="H25" s="11"/>
      <c r="I25">
        <f t="shared" si="5"/>
        <v>0.06391000000439817</v>
      </c>
      <c r="O25">
        <f t="shared" si="2"/>
        <v>0.0646794179864888</v>
      </c>
      <c r="Q25" s="2">
        <f t="shared" si="3"/>
        <v>36906.9982</v>
      </c>
    </row>
    <row r="26" spans="1:17" ht="12.75">
      <c r="A26" t="s">
        <v>32</v>
      </c>
      <c r="B26" s="6" t="s">
        <v>30</v>
      </c>
      <c r="C26" s="12">
        <v>51952.648</v>
      </c>
      <c r="D26" s="6">
        <v>0.0004</v>
      </c>
      <c r="E26">
        <f t="shared" si="0"/>
        <v>88114.72890452834</v>
      </c>
      <c r="F26">
        <f t="shared" si="4"/>
        <v>88114.5</v>
      </c>
      <c r="G26">
        <f t="shared" si="1"/>
        <v>0.06440000000293367</v>
      </c>
      <c r="H26" s="11"/>
      <c r="I26">
        <f t="shared" si="5"/>
        <v>0.06440000000293367</v>
      </c>
      <c r="O26">
        <f t="shared" si="2"/>
        <v>0.06383281349736736</v>
      </c>
      <c r="Q26" s="2">
        <f t="shared" si="3"/>
        <v>36934.148</v>
      </c>
    </row>
    <row r="27" spans="1:17" ht="12.75">
      <c r="A27" s="15" t="s">
        <v>38</v>
      </c>
      <c r="B27" s="16" t="s">
        <v>30</v>
      </c>
      <c r="C27" s="17">
        <v>52731.3728</v>
      </c>
      <c r="D27" s="18">
        <v>0.0002</v>
      </c>
      <c r="E27">
        <f t="shared" si="0"/>
        <v>90882.64246107911</v>
      </c>
      <c r="F27">
        <f t="shared" si="4"/>
        <v>90882.5</v>
      </c>
      <c r="G27">
        <f t="shared" si="1"/>
        <v>0.040079999998852145</v>
      </c>
      <c r="I27">
        <f t="shared" si="5"/>
        <v>0.040079999998852145</v>
      </c>
      <c r="O27">
        <f t="shared" si="2"/>
        <v>0.03954886297002791</v>
      </c>
      <c r="Q27" s="2">
        <f t="shared" si="3"/>
        <v>37712.8728</v>
      </c>
    </row>
    <row r="28" spans="1:17" ht="12.75">
      <c r="A28" s="15" t="s">
        <v>38</v>
      </c>
      <c r="B28" s="16" t="s">
        <v>31</v>
      </c>
      <c r="C28" s="17">
        <v>52731.5132</v>
      </c>
      <c r="D28" s="18">
        <v>0.0004</v>
      </c>
      <c r="E28">
        <f t="shared" si="0"/>
        <v>90883.14150138623</v>
      </c>
      <c r="F28">
        <f t="shared" si="4"/>
        <v>90883</v>
      </c>
      <c r="G28">
        <f t="shared" si="1"/>
        <v>0.03981000000203494</v>
      </c>
      <c r="I28">
        <f t="shared" si="5"/>
        <v>0.03981000000203494</v>
      </c>
      <c r="O28">
        <f t="shared" si="2"/>
        <v>0.03954447641827086</v>
      </c>
      <c r="Q28" s="2">
        <f t="shared" si="3"/>
        <v>37713.0132</v>
      </c>
    </row>
    <row r="29" spans="1:17" ht="12.75">
      <c r="A29" s="19" t="s">
        <v>39</v>
      </c>
      <c r="B29" s="6" t="s">
        <v>30</v>
      </c>
      <c r="C29">
        <v>53123.266</v>
      </c>
      <c r="D29" s="6">
        <v>0.0005</v>
      </c>
      <c r="E29">
        <f t="shared" si="0"/>
        <v>92275.59476078767</v>
      </c>
      <c r="F29">
        <f t="shared" si="4"/>
        <v>92275.5</v>
      </c>
      <c r="G29">
        <f t="shared" si="1"/>
        <v>0.02666000000317581</v>
      </c>
      <c r="I29">
        <f t="shared" si="5"/>
        <v>0.02666000000317581</v>
      </c>
      <c r="O29">
        <f t="shared" si="2"/>
        <v>0.02732792977473031</v>
      </c>
      <c r="Q29" s="2">
        <f t="shared" si="3"/>
        <v>38104.766</v>
      </c>
    </row>
    <row r="30" spans="1:17" ht="12.75">
      <c r="A30" s="20" t="s">
        <v>41</v>
      </c>
      <c r="B30" s="16" t="s">
        <v>30</v>
      </c>
      <c r="C30" s="21">
        <v>53081.347</v>
      </c>
      <c r="D30" s="22">
        <v>0.001</v>
      </c>
      <c r="E30">
        <f t="shared" si="0"/>
        <v>92126.59710670364</v>
      </c>
      <c r="F30">
        <f t="shared" si="4"/>
        <v>92126.5</v>
      </c>
      <c r="G30">
        <f t="shared" si="1"/>
        <v>0.027320000001054723</v>
      </c>
      <c r="I30">
        <f t="shared" si="5"/>
        <v>0.027320000001054723</v>
      </c>
      <c r="O30">
        <f t="shared" si="2"/>
        <v>0.028635122198347962</v>
      </c>
      <c r="Q30" s="2">
        <f t="shared" si="3"/>
        <v>38062.847</v>
      </c>
    </row>
    <row r="31" spans="1:17" ht="12.75">
      <c r="A31" s="20" t="s">
        <v>41</v>
      </c>
      <c r="B31" s="16" t="s">
        <v>31</v>
      </c>
      <c r="C31" s="21">
        <v>53081.4897</v>
      </c>
      <c r="D31" s="22">
        <v>0.0002</v>
      </c>
      <c r="E31">
        <f t="shared" si="0"/>
        <v>92127.10432217245</v>
      </c>
      <c r="F31">
        <f t="shared" si="4"/>
        <v>92127</v>
      </c>
      <c r="G31">
        <f t="shared" si="1"/>
        <v>0.02935000000434229</v>
      </c>
      <c r="I31">
        <f t="shared" si="5"/>
        <v>0.02935000000434229</v>
      </c>
      <c r="O31">
        <f t="shared" si="2"/>
        <v>0.0286307356465908</v>
      </c>
      <c r="Q31" s="2">
        <f t="shared" si="3"/>
        <v>38062.9897</v>
      </c>
    </row>
    <row r="32" spans="1:17" ht="12.75">
      <c r="A32" s="20" t="s">
        <v>41</v>
      </c>
      <c r="B32" s="16" t="s">
        <v>30</v>
      </c>
      <c r="C32" s="21">
        <v>53081.6283</v>
      </c>
      <c r="D32" s="22">
        <v>0.0004</v>
      </c>
      <c r="E32">
        <f t="shared" si="0"/>
        <v>92127.5969645269</v>
      </c>
      <c r="F32">
        <f t="shared" si="4"/>
        <v>92127.5</v>
      </c>
      <c r="G32">
        <f t="shared" si="1"/>
        <v>0.02727999999478925</v>
      </c>
      <c r="I32">
        <f t="shared" si="5"/>
        <v>0.02727999999478925</v>
      </c>
      <c r="O32">
        <f t="shared" si="2"/>
        <v>0.028626349094833747</v>
      </c>
      <c r="Q32" s="2">
        <f t="shared" si="3"/>
        <v>38063.1283</v>
      </c>
    </row>
    <row r="33" spans="1:17" ht="12.75">
      <c r="A33" s="20" t="s">
        <v>41</v>
      </c>
      <c r="B33" s="16" t="s">
        <v>31</v>
      </c>
      <c r="C33" s="21">
        <v>53464.386</v>
      </c>
      <c r="D33" s="22">
        <v>0.001</v>
      </c>
      <c r="E33">
        <f t="shared" si="0"/>
        <v>93488.07787730149</v>
      </c>
      <c r="F33">
        <f t="shared" si="4"/>
        <v>93488</v>
      </c>
      <c r="G33">
        <f t="shared" si="1"/>
        <v>0.021909999995841645</v>
      </c>
      <c r="I33">
        <f t="shared" si="5"/>
        <v>0.021909999995841645</v>
      </c>
      <c r="O33">
        <f t="shared" si="2"/>
        <v>0.016690541763747957</v>
      </c>
      <c r="Q33" s="2">
        <f t="shared" si="3"/>
        <v>38445.886</v>
      </c>
    </row>
    <row r="34" spans="1:17" ht="12.75">
      <c r="A34" s="20" t="s">
        <v>41</v>
      </c>
      <c r="B34" s="16" t="s">
        <v>30</v>
      </c>
      <c r="C34" s="21">
        <v>53464.5183</v>
      </c>
      <c r="D34" s="22">
        <v>0.0007</v>
      </c>
      <c r="E34">
        <f t="shared" si="0"/>
        <v>93488.54812682165</v>
      </c>
      <c r="F34">
        <f t="shared" si="4"/>
        <v>93488.5</v>
      </c>
      <c r="G34">
        <f t="shared" si="1"/>
        <v>0.013540000007196795</v>
      </c>
      <c r="I34">
        <f t="shared" si="5"/>
        <v>0.013540000007196795</v>
      </c>
      <c r="O34">
        <f t="shared" si="2"/>
        <v>0.016686155211990905</v>
      </c>
      <c r="Q34" s="2">
        <f t="shared" si="3"/>
        <v>38446.0183</v>
      </c>
    </row>
    <row r="35" spans="1:17" ht="12.75">
      <c r="A35" t="s">
        <v>37</v>
      </c>
      <c r="B35" s="6" t="s">
        <v>30</v>
      </c>
      <c r="C35">
        <v>53123.266</v>
      </c>
      <c r="D35" s="6">
        <v>0.0005</v>
      </c>
      <c r="E35">
        <f t="shared" si="0"/>
        <v>92275.59476078767</v>
      </c>
      <c r="F35">
        <f t="shared" si="4"/>
        <v>92275.5</v>
      </c>
      <c r="G35">
        <f t="shared" si="1"/>
        <v>0.02666000000317581</v>
      </c>
      <c r="J35">
        <f>G35</f>
        <v>0.02666000000317581</v>
      </c>
      <c r="O35">
        <f t="shared" si="2"/>
        <v>0.02732792977473031</v>
      </c>
      <c r="Q35" s="2">
        <f t="shared" si="3"/>
        <v>38104.766</v>
      </c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3"/>
  <sheetViews>
    <sheetView zoomScalePageLayoutView="0" workbookViewId="0" topLeftCell="A7">
      <selection activeCell="A30" sqref="A30:D30"/>
    </sheetView>
  </sheetViews>
  <sheetFormatPr defaultColWidth="9.140625" defaultRowHeight="12.75"/>
  <cols>
    <col min="1" max="1" width="19.7109375" style="11" customWidth="1"/>
    <col min="2" max="2" width="4.421875" style="15" customWidth="1"/>
    <col min="3" max="3" width="12.7109375" style="11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1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53" t="s">
        <v>64</v>
      </c>
      <c r="I1" s="54" t="s">
        <v>65</v>
      </c>
      <c r="J1" s="55" t="s">
        <v>66</v>
      </c>
    </row>
    <row r="2" spans="9:10" ht="12.75">
      <c r="I2" s="56" t="s">
        <v>67</v>
      </c>
      <c r="J2" s="57" t="s">
        <v>68</v>
      </c>
    </row>
    <row r="3" spans="1:10" ht="12.75">
      <c r="A3" s="58" t="s">
        <v>69</v>
      </c>
      <c r="I3" s="56" t="s">
        <v>70</v>
      </c>
      <c r="J3" s="57" t="s">
        <v>71</v>
      </c>
    </row>
    <row r="4" spans="9:10" ht="12.75">
      <c r="I4" s="56" t="s">
        <v>72</v>
      </c>
      <c r="J4" s="57" t="s">
        <v>71</v>
      </c>
    </row>
    <row r="5" spans="9:10" ht="13.5" thickBot="1">
      <c r="I5" s="59" t="s">
        <v>73</v>
      </c>
      <c r="J5" s="60" t="s">
        <v>74</v>
      </c>
    </row>
    <row r="10" ht="13.5" thickBot="1"/>
    <row r="11" spans="1:16" ht="12.75" customHeight="1" thickBot="1">
      <c r="A11" s="11" t="str">
        <f aca="true" t="shared" si="0" ref="A11:A30">P11</f>
        <v>IBVS 5579 </v>
      </c>
      <c r="B11" s="6" t="str">
        <f aca="true" t="shared" si="1" ref="B11:B30">IF(H11=INT(H11),"I","II")</f>
        <v>I</v>
      </c>
      <c r="C11" s="11">
        <f aca="true" t="shared" si="2" ref="C11:C30">1*G11</f>
        <v>52731.3728</v>
      </c>
      <c r="D11" s="15" t="str">
        <f aca="true" t="shared" si="3" ref="D11:D30">VLOOKUP(F11,I$1:J$5,2,FALSE)</f>
        <v>vis</v>
      </c>
      <c r="E11" s="61">
        <f>VLOOKUP(C11,Active!C$21:E$972,3,FALSE)</f>
        <v>90885.49419178751</v>
      </c>
      <c r="F11" s="6" t="s">
        <v>73</v>
      </c>
      <c r="G11" s="15" t="str">
        <f aca="true" t="shared" si="4" ref="G11:G30">MID(I11,3,LEN(I11)-3)</f>
        <v>52731.3728</v>
      </c>
      <c r="H11" s="11">
        <f aca="true" t="shared" si="5" ref="H11:H30">1*K11</f>
        <v>53006</v>
      </c>
      <c r="I11" s="62" t="s">
        <v>75</v>
      </c>
      <c r="J11" s="63" t="s">
        <v>76</v>
      </c>
      <c r="K11" s="62">
        <v>53006</v>
      </c>
      <c r="L11" s="62" t="s">
        <v>77</v>
      </c>
      <c r="M11" s="63" t="s">
        <v>78</v>
      </c>
      <c r="N11" s="63" t="s">
        <v>79</v>
      </c>
      <c r="O11" s="64" t="s">
        <v>80</v>
      </c>
      <c r="P11" s="65" t="s">
        <v>81</v>
      </c>
    </row>
    <row r="12" spans="1:16" ht="12.75" customHeight="1" thickBot="1">
      <c r="A12" s="11" t="str">
        <f t="shared" si="0"/>
        <v>IBVS 5579 </v>
      </c>
      <c r="B12" s="6" t="str">
        <f t="shared" si="1"/>
        <v>II</v>
      </c>
      <c r="C12" s="11">
        <f t="shared" si="2"/>
        <v>52731.5132</v>
      </c>
      <c r="D12" s="15" t="str">
        <f t="shared" si="3"/>
        <v>vis</v>
      </c>
      <c r="E12" s="61">
        <f>VLOOKUP(C12,Active!C$21:E$972,3,FALSE)</f>
        <v>90885.99324775352</v>
      </c>
      <c r="F12" s="6" t="s">
        <v>73</v>
      </c>
      <c r="G12" s="15" t="str">
        <f t="shared" si="4"/>
        <v>52731.5132</v>
      </c>
      <c r="H12" s="11">
        <f t="shared" si="5"/>
        <v>53006.5</v>
      </c>
      <c r="I12" s="62" t="s">
        <v>82</v>
      </c>
      <c r="J12" s="63" t="s">
        <v>83</v>
      </c>
      <c r="K12" s="62">
        <v>53006.5</v>
      </c>
      <c r="L12" s="62" t="s">
        <v>84</v>
      </c>
      <c r="M12" s="63" t="s">
        <v>78</v>
      </c>
      <c r="N12" s="63" t="s">
        <v>79</v>
      </c>
      <c r="O12" s="64" t="s">
        <v>80</v>
      </c>
      <c r="P12" s="65" t="s">
        <v>81</v>
      </c>
    </row>
    <row r="13" spans="1:16" ht="12.75" customHeight="1" thickBot="1">
      <c r="A13" s="11" t="str">
        <f t="shared" si="0"/>
        <v>IBVS 5684 </v>
      </c>
      <c r="B13" s="6" t="str">
        <f t="shared" si="1"/>
        <v>II</v>
      </c>
      <c r="C13" s="11">
        <f t="shared" si="2"/>
        <v>53081.347</v>
      </c>
      <c r="D13" s="15" t="str">
        <f t="shared" si="3"/>
        <v>vis</v>
      </c>
      <c r="E13" s="61">
        <f>VLOOKUP(C13,Active!C$21:E$972,3,FALSE)</f>
        <v>92129.48787021358</v>
      </c>
      <c r="F13" s="6" t="s">
        <v>73</v>
      </c>
      <c r="G13" s="15" t="str">
        <f t="shared" si="4"/>
        <v>53081.347</v>
      </c>
      <c r="H13" s="11">
        <f t="shared" si="5"/>
        <v>54246.5</v>
      </c>
      <c r="I13" s="62" t="s">
        <v>85</v>
      </c>
      <c r="J13" s="63" t="s">
        <v>86</v>
      </c>
      <c r="K13" s="62">
        <v>54246.5</v>
      </c>
      <c r="L13" s="62" t="s">
        <v>87</v>
      </c>
      <c r="M13" s="63" t="s">
        <v>78</v>
      </c>
      <c r="N13" s="63" t="s">
        <v>79</v>
      </c>
      <c r="O13" s="64" t="s">
        <v>88</v>
      </c>
      <c r="P13" s="65" t="s">
        <v>89</v>
      </c>
    </row>
    <row r="14" spans="1:16" ht="12.75" customHeight="1" thickBot="1">
      <c r="A14" s="11" t="str">
        <f t="shared" si="0"/>
        <v>IBVS 5684 </v>
      </c>
      <c r="B14" s="6" t="str">
        <f t="shared" si="1"/>
        <v>I</v>
      </c>
      <c r="C14" s="11">
        <f t="shared" si="2"/>
        <v>53081.4897</v>
      </c>
      <c r="D14" s="15" t="str">
        <f t="shared" si="3"/>
        <v>vis</v>
      </c>
      <c r="E14" s="61">
        <f>VLOOKUP(C14,Active!C$21:E$972,3,FALSE)</f>
        <v>92129.9951015978</v>
      </c>
      <c r="F14" s="6" t="s">
        <v>73</v>
      </c>
      <c r="G14" s="15" t="str">
        <f t="shared" si="4"/>
        <v>53081.4897</v>
      </c>
      <c r="H14" s="11">
        <f t="shared" si="5"/>
        <v>54247</v>
      </c>
      <c r="I14" s="62" t="s">
        <v>90</v>
      </c>
      <c r="J14" s="63" t="s">
        <v>91</v>
      </c>
      <c r="K14" s="62">
        <v>54247</v>
      </c>
      <c r="L14" s="62" t="s">
        <v>92</v>
      </c>
      <c r="M14" s="63" t="s">
        <v>78</v>
      </c>
      <c r="N14" s="63" t="s">
        <v>79</v>
      </c>
      <c r="O14" s="64" t="s">
        <v>88</v>
      </c>
      <c r="P14" s="65" t="s">
        <v>89</v>
      </c>
    </row>
    <row r="15" spans="1:16" ht="12.75" customHeight="1" thickBot="1">
      <c r="A15" s="11" t="str">
        <f t="shared" si="0"/>
        <v>IBVS 5684 </v>
      </c>
      <c r="B15" s="6" t="str">
        <f t="shared" si="1"/>
        <v>II</v>
      </c>
      <c r="C15" s="11">
        <f t="shared" si="2"/>
        <v>53081.6283</v>
      </c>
      <c r="D15" s="15" t="str">
        <f t="shared" si="3"/>
        <v>vis</v>
      </c>
      <c r="E15" s="61">
        <f>VLOOKUP(C15,Active!C$21:E$972,3,FALSE)</f>
        <v>92130.48775941037</v>
      </c>
      <c r="F15" s="6" t="s">
        <v>73</v>
      </c>
      <c r="G15" s="15" t="str">
        <f t="shared" si="4"/>
        <v>53081.6283</v>
      </c>
      <c r="H15" s="11">
        <f t="shared" si="5"/>
        <v>54247.5</v>
      </c>
      <c r="I15" s="62" t="s">
        <v>93</v>
      </c>
      <c r="J15" s="63" t="s">
        <v>94</v>
      </c>
      <c r="K15" s="62">
        <v>54247.5</v>
      </c>
      <c r="L15" s="62" t="s">
        <v>95</v>
      </c>
      <c r="M15" s="63" t="s">
        <v>78</v>
      </c>
      <c r="N15" s="63" t="s">
        <v>79</v>
      </c>
      <c r="O15" s="64" t="s">
        <v>88</v>
      </c>
      <c r="P15" s="65" t="s">
        <v>89</v>
      </c>
    </row>
    <row r="16" spans="1:16" ht="12.75" customHeight="1" thickBot="1">
      <c r="A16" s="11" t="str">
        <f t="shared" si="0"/>
        <v>IBVS 5592 </v>
      </c>
      <c r="B16" s="6" t="str">
        <f t="shared" si="1"/>
        <v>I</v>
      </c>
      <c r="C16" s="11">
        <f t="shared" si="2"/>
        <v>53123.266</v>
      </c>
      <c r="D16" s="15" t="str">
        <f t="shared" si="3"/>
        <v>vis</v>
      </c>
      <c r="E16" s="61">
        <f>VLOOKUP(C16,Active!C$21:E$972,3,FALSE)</f>
        <v>92278.49019954512</v>
      </c>
      <c r="F16" s="6" t="s">
        <v>73</v>
      </c>
      <c r="G16" s="15" t="str">
        <f t="shared" si="4"/>
        <v>53123.2660</v>
      </c>
      <c r="H16" s="11">
        <f t="shared" si="5"/>
        <v>54395</v>
      </c>
      <c r="I16" s="62" t="s">
        <v>96</v>
      </c>
      <c r="J16" s="63" t="s">
        <v>97</v>
      </c>
      <c r="K16" s="62">
        <v>54395</v>
      </c>
      <c r="L16" s="62" t="s">
        <v>98</v>
      </c>
      <c r="M16" s="63" t="s">
        <v>78</v>
      </c>
      <c r="N16" s="63" t="s">
        <v>79</v>
      </c>
      <c r="O16" s="64" t="s">
        <v>99</v>
      </c>
      <c r="P16" s="65" t="s">
        <v>100</v>
      </c>
    </row>
    <row r="17" spans="1:16" ht="12.75" customHeight="1" thickBot="1">
      <c r="A17" s="11" t="str">
        <f t="shared" si="0"/>
        <v>IBVS 5684 </v>
      </c>
      <c r="B17" s="6" t="str">
        <f t="shared" si="1"/>
        <v>II</v>
      </c>
      <c r="C17" s="11">
        <f t="shared" si="2"/>
        <v>53464.386</v>
      </c>
      <c r="D17" s="15" t="str">
        <f t="shared" si="3"/>
        <v>vis</v>
      </c>
      <c r="E17" s="61">
        <f>VLOOKUP(C17,Active!C$21:E$972,3,FALSE)</f>
        <v>93491.01136134702</v>
      </c>
      <c r="F17" s="6" t="s">
        <v>73</v>
      </c>
      <c r="G17" s="15" t="str">
        <f t="shared" si="4"/>
        <v>53464.386</v>
      </c>
      <c r="H17" s="11">
        <f t="shared" si="5"/>
        <v>55604.5</v>
      </c>
      <c r="I17" s="62" t="s">
        <v>101</v>
      </c>
      <c r="J17" s="63" t="s">
        <v>102</v>
      </c>
      <c r="K17" s="62">
        <v>55604.5</v>
      </c>
      <c r="L17" s="62" t="s">
        <v>103</v>
      </c>
      <c r="M17" s="63" t="s">
        <v>78</v>
      </c>
      <c r="N17" s="63" t="s">
        <v>79</v>
      </c>
      <c r="O17" s="64" t="s">
        <v>88</v>
      </c>
      <c r="P17" s="65" t="s">
        <v>89</v>
      </c>
    </row>
    <row r="18" spans="1:16" ht="12.75" customHeight="1" thickBot="1">
      <c r="A18" s="11" t="str">
        <f t="shared" si="0"/>
        <v>IBVS 5684 </v>
      </c>
      <c r="B18" s="6" t="str">
        <f t="shared" si="1"/>
        <v>I</v>
      </c>
      <c r="C18" s="11">
        <f t="shared" si="2"/>
        <v>53464.5183</v>
      </c>
      <c r="D18" s="15" t="str">
        <f t="shared" si="3"/>
        <v>vis</v>
      </c>
      <c r="E18" s="61">
        <f>VLOOKUP(C18,Active!C$21:E$972,3,FALSE)</f>
        <v>93491.48162562268</v>
      </c>
      <c r="F18" s="6" t="s">
        <v>73</v>
      </c>
      <c r="G18" s="15" t="str">
        <f t="shared" si="4"/>
        <v>53464.5183</v>
      </c>
      <c r="H18" s="11">
        <f t="shared" si="5"/>
        <v>55605</v>
      </c>
      <c r="I18" s="62" t="s">
        <v>104</v>
      </c>
      <c r="J18" s="63" t="s">
        <v>105</v>
      </c>
      <c r="K18" s="62">
        <v>55605</v>
      </c>
      <c r="L18" s="62" t="s">
        <v>106</v>
      </c>
      <c r="M18" s="63" t="s">
        <v>78</v>
      </c>
      <c r="N18" s="63" t="s">
        <v>79</v>
      </c>
      <c r="O18" s="64" t="s">
        <v>88</v>
      </c>
      <c r="P18" s="65" t="s">
        <v>89</v>
      </c>
    </row>
    <row r="19" spans="1:16" ht="12.75" customHeight="1" thickBot="1">
      <c r="A19" s="11" t="str">
        <f t="shared" si="0"/>
        <v>BAVM 209 </v>
      </c>
      <c r="B19" s="6" t="str">
        <f t="shared" si="1"/>
        <v>II</v>
      </c>
      <c r="C19" s="11">
        <f t="shared" si="2"/>
        <v>54831.6443</v>
      </c>
      <c r="D19" s="15" t="str">
        <f t="shared" si="3"/>
        <v>vis</v>
      </c>
      <c r="E19" s="61">
        <f>VLOOKUP(C19,Active!C$21:E$972,3,FALSE)</f>
        <v>98350.97155834311</v>
      </c>
      <c r="F19" s="6" t="s">
        <v>73</v>
      </c>
      <c r="G19" s="15" t="str">
        <f t="shared" si="4"/>
        <v>54831.6443</v>
      </c>
      <c r="H19" s="11">
        <f t="shared" si="5"/>
        <v>60451.5</v>
      </c>
      <c r="I19" s="62" t="s">
        <v>107</v>
      </c>
      <c r="J19" s="63" t="s">
        <v>108</v>
      </c>
      <c r="K19" s="62">
        <v>60451.5</v>
      </c>
      <c r="L19" s="62" t="s">
        <v>109</v>
      </c>
      <c r="M19" s="63" t="s">
        <v>110</v>
      </c>
      <c r="N19" s="63" t="s">
        <v>111</v>
      </c>
      <c r="O19" s="64" t="s">
        <v>112</v>
      </c>
      <c r="P19" s="65" t="s">
        <v>113</v>
      </c>
    </row>
    <row r="20" spans="1:16" ht="12.75" customHeight="1" thickBot="1">
      <c r="A20" s="11" t="str">
        <f t="shared" si="0"/>
        <v>IBVS 5894 </v>
      </c>
      <c r="B20" s="6" t="str">
        <f t="shared" si="1"/>
        <v>II</v>
      </c>
      <c r="C20" s="11">
        <f t="shared" si="2"/>
        <v>54881.8582</v>
      </c>
      <c r="D20" s="15" t="str">
        <f t="shared" si="3"/>
        <v>vis</v>
      </c>
      <c r="E20" s="61">
        <f>VLOOKUP(C20,Active!C$21:E$972,3,FALSE)</f>
        <v>98529.45835585309</v>
      </c>
      <c r="F20" s="6" t="s">
        <v>73</v>
      </c>
      <c r="G20" s="15" t="str">
        <f t="shared" si="4"/>
        <v>54881.8582</v>
      </c>
      <c r="H20" s="11">
        <f t="shared" si="5"/>
        <v>60629.5</v>
      </c>
      <c r="I20" s="62" t="s">
        <v>114</v>
      </c>
      <c r="J20" s="63" t="s">
        <v>115</v>
      </c>
      <c r="K20" s="62">
        <v>60629.5</v>
      </c>
      <c r="L20" s="62" t="s">
        <v>116</v>
      </c>
      <c r="M20" s="63" t="s">
        <v>110</v>
      </c>
      <c r="N20" s="63" t="s">
        <v>73</v>
      </c>
      <c r="O20" s="64" t="s">
        <v>117</v>
      </c>
      <c r="P20" s="65" t="s">
        <v>118</v>
      </c>
    </row>
    <row r="21" spans="1:16" ht="12.75" customHeight="1" thickBot="1">
      <c r="A21" s="11" t="str">
        <f t="shared" si="0"/>
        <v>IBVS 5894 </v>
      </c>
      <c r="B21" s="6" t="str">
        <f t="shared" si="1"/>
        <v>I</v>
      </c>
      <c r="C21" s="11">
        <f t="shared" si="2"/>
        <v>54957.6775</v>
      </c>
      <c r="D21" s="15" t="str">
        <f t="shared" si="3"/>
        <v>vis</v>
      </c>
      <c r="E21" s="61">
        <f>VLOOKUP(C21,Active!C$21:E$972,3,FALSE)</f>
        <v>98798.96030743318</v>
      </c>
      <c r="F21" s="6" t="s">
        <v>73</v>
      </c>
      <c r="G21" s="15" t="str">
        <f t="shared" si="4"/>
        <v>54957.6775</v>
      </c>
      <c r="H21" s="11">
        <f t="shared" si="5"/>
        <v>60898</v>
      </c>
      <c r="I21" s="62" t="s">
        <v>119</v>
      </c>
      <c r="J21" s="63" t="s">
        <v>120</v>
      </c>
      <c r="K21" s="62">
        <v>60898</v>
      </c>
      <c r="L21" s="62" t="s">
        <v>121</v>
      </c>
      <c r="M21" s="63" t="s">
        <v>110</v>
      </c>
      <c r="N21" s="63" t="s">
        <v>73</v>
      </c>
      <c r="O21" s="64" t="s">
        <v>117</v>
      </c>
      <c r="P21" s="65" t="s">
        <v>118</v>
      </c>
    </row>
    <row r="22" spans="1:16" ht="12.75" customHeight="1" thickBot="1">
      <c r="A22" s="11" t="str">
        <f t="shared" si="0"/>
        <v>IBVS 5945 </v>
      </c>
      <c r="B22" s="6" t="str">
        <f t="shared" si="1"/>
        <v>I</v>
      </c>
      <c r="C22" s="11">
        <f t="shared" si="2"/>
        <v>55276.707</v>
      </c>
      <c r="D22" s="15" t="str">
        <f t="shared" si="3"/>
        <v>vis</v>
      </c>
      <c r="E22" s="61">
        <f>VLOOKUP(C22,Active!C$21:E$972,3,FALSE)</f>
        <v>99932.96013151002</v>
      </c>
      <c r="F22" s="6" t="s">
        <v>73</v>
      </c>
      <c r="G22" s="15" t="str">
        <f t="shared" si="4"/>
        <v>55276.7070</v>
      </c>
      <c r="H22" s="11">
        <f t="shared" si="5"/>
        <v>62029</v>
      </c>
      <c r="I22" s="62" t="s">
        <v>122</v>
      </c>
      <c r="J22" s="63" t="s">
        <v>123</v>
      </c>
      <c r="K22" s="62">
        <v>62029</v>
      </c>
      <c r="L22" s="62" t="s">
        <v>124</v>
      </c>
      <c r="M22" s="63" t="s">
        <v>110</v>
      </c>
      <c r="N22" s="63" t="s">
        <v>73</v>
      </c>
      <c r="O22" s="64" t="s">
        <v>117</v>
      </c>
      <c r="P22" s="65" t="s">
        <v>125</v>
      </c>
    </row>
    <row r="23" spans="1:16" ht="12.75" customHeight="1" thickBot="1">
      <c r="A23" s="11" t="str">
        <f t="shared" si="0"/>
        <v>BAVM 234 </v>
      </c>
      <c r="B23" s="6" t="str">
        <f t="shared" si="1"/>
        <v>I</v>
      </c>
      <c r="C23" s="11">
        <f t="shared" si="2"/>
        <v>55279.3836</v>
      </c>
      <c r="D23" s="15" t="str">
        <f t="shared" si="3"/>
        <v>vis</v>
      </c>
      <c r="E23" s="61">
        <f>VLOOKUP(C23,Active!C$21:E$972,3,FALSE)</f>
        <v>99942.47418563078</v>
      </c>
      <c r="F23" s="6" t="s">
        <v>73</v>
      </c>
      <c r="G23" s="15" t="str">
        <f t="shared" si="4"/>
        <v>55279.3836</v>
      </c>
      <c r="H23" s="11">
        <f t="shared" si="5"/>
        <v>62039</v>
      </c>
      <c r="I23" s="62" t="s">
        <v>126</v>
      </c>
      <c r="J23" s="63" t="s">
        <v>127</v>
      </c>
      <c r="K23" s="62">
        <v>62039</v>
      </c>
      <c r="L23" s="62" t="s">
        <v>128</v>
      </c>
      <c r="M23" s="63" t="s">
        <v>110</v>
      </c>
      <c r="N23" s="63" t="s">
        <v>111</v>
      </c>
      <c r="O23" s="64" t="s">
        <v>112</v>
      </c>
      <c r="P23" s="65" t="s">
        <v>129</v>
      </c>
    </row>
    <row r="24" spans="1:16" ht="12.75" customHeight="1" thickBot="1">
      <c r="A24" s="11" t="str">
        <f t="shared" si="0"/>
        <v>IBVS 5992 </v>
      </c>
      <c r="B24" s="6" t="str">
        <f t="shared" si="1"/>
        <v>II</v>
      </c>
      <c r="C24" s="11">
        <f t="shared" si="2"/>
        <v>55615.8518</v>
      </c>
      <c r="D24" s="15" t="str">
        <f t="shared" si="3"/>
        <v>vis</v>
      </c>
      <c r="E24" s="61">
        <f>VLOOKUP(C24,Active!C$21:E$972,3,FALSE)</f>
        <v>101138.46038630325</v>
      </c>
      <c r="F24" s="6" t="s">
        <v>73</v>
      </c>
      <c r="G24" s="15" t="str">
        <f t="shared" si="4"/>
        <v>55615.8518</v>
      </c>
      <c r="H24" s="11">
        <f t="shared" si="5"/>
        <v>63231.5</v>
      </c>
      <c r="I24" s="62" t="s">
        <v>130</v>
      </c>
      <c r="J24" s="63" t="s">
        <v>131</v>
      </c>
      <c r="K24" s="62">
        <v>63231.5</v>
      </c>
      <c r="L24" s="62" t="s">
        <v>132</v>
      </c>
      <c r="M24" s="63" t="s">
        <v>110</v>
      </c>
      <c r="N24" s="63" t="s">
        <v>73</v>
      </c>
      <c r="O24" s="64" t="s">
        <v>117</v>
      </c>
      <c r="P24" s="65" t="s">
        <v>133</v>
      </c>
    </row>
    <row r="25" spans="1:16" ht="12.75" customHeight="1" thickBot="1">
      <c r="A25" s="11" t="str">
        <f t="shared" si="0"/>
        <v>BAVM 220 </v>
      </c>
      <c r="B25" s="6" t="str">
        <f t="shared" si="1"/>
        <v>II</v>
      </c>
      <c r="C25" s="11">
        <f t="shared" si="2"/>
        <v>55628.5127</v>
      </c>
      <c r="D25" s="15" t="str">
        <f t="shared" si="3"/>
        <v>vis</v>
      </c>
      <c r="E25" s="61">
        <f>VLOOKUP(C25,Active!C$21:E$972,3,FALSE)</f>
        <v>101183.4639310308</v>
      </c>
      <c r="F25" s="6" t="s">
        <v>73</v>
      </c>
      <c r="G25" s="15" t="str">
        <f t="shared" si="4"/>
        <v>55628.5127</v>
      </c>
      <c r="H25" s="11">
        <f t="shared" si="5"/>
        <v>63276.5</v>
      </c>
      <c r="I25" s="62" t="s">
        <v>134</v>
      </c>
      <c r="J25" s="63" t="s">
        <v>135</v>
      </c>
      <c r="K25" s="62">
        <v>63276.5</v>
      </c>
      <c r="L25" s="62" t="s">
        <v>136</v>
      </c>
      <c r="M25" s="63" t="s">
        <v>110</v>
      </c>
      <c r="N25" s="63" t="s">
        <v>111</v>
      </c>
      <c r="O25" s="64" t="s">
        <v>112</v>
      </c>
      <c r="P25" s="65" t="s">
        <v>137</v>
      </c>
    </row>
    <row r="26" spans="1:16" ht="12.75" customHeight="1" thickBot="1">
      <c r="A26" s="11" t="str">
        <f t="shared" si="0"/>
        <v>IBVS 6029 </v>
      </c>
      <c r="B26" s="6" t="str">
        <f t="shared" si="1"/>
        <v>I</v>
      </c>
      <c r="C26" s="11">
        <f t="shared" si="2"/>
        <v>55981.8645</v>
      </c>
      <c r="D26" s="15" t="str">
        <f t="shared" si="3"/>
        <v>vis</v>
      </c>
      <c r="E26" s="61">
        <f>VLOOKUP(C26,Active!C$21:E$972,3,FALSE)</f>
        <v>102439.46338887789</v>
      </c>
      <c r="F26" s="6" t="s">
        <v>73</v>
      </c>
      <c r="G26" s="15" t="str">
        <f t="shared" si="4"/>
        <v>55981.8645</v>
      </c>
      <c r="H26" s="11">
        <f t="shared" si="5"/>
        <v>64529</v>
      </c>
      <c r="I26" s="62" t="s">
        <v>138</v>
      </c>
      <c r="J26" s="63" t="s">
        <v>139</v>
      </c>
      <c r="K26" s="62">
        <v>64529</v>
      </c>
      <c r="L26" s="62" t="s">
        <v>140</v>
      </c>
      <c r="M26" s="63" t="s">
        <v>110</v>
      </c>
      <c r="N26" s="63" t="s">
        <v>73</v>
      </c>
      <c r="O26" s="64" t="s">
        <v>117</v>
      </c>
      <c r="P26" s="65" t="s">
        <v>141</v>
      </c>
    </row>
    <row r="27" spans="1:16" ht="12.75" customHeight="1" thickBot="1">
      <c r="A27" s="11" t="str">
        <f t="shared" si="0"/>
        <v>IBVS 6029 </v>
      </c>
      <c r="B27" s="6" t="str">
        <f t="shared" si="1"/>
        <v>I</v>
      </c>
      <c r="C27" s="11">
        <f t="shared" si="2"/>
        <v>56048.6829</v>
      </c>
      <c r="D27" s="15" t="str">
        <f t="shared" si="3"/>
        <v>vis</v>
      </c>
      <c r="E27" s="61">
        <f>VLOOKUP(C27,Active!C$21:E$972,3,FALSE)</f>
        <v>102676.97137433094</v>
      </c>
      <c r="F27" s="6" t="s">
        <v>73</v>
      </c>
      <c r="G27" s="15" t="str">
        <f t="shared" si="4"/>
        <v>56048.6829</v>
      </c>
      <c r="H27" s="11">
        <f t="shared" si="5"/>
        <v>64766</v>
      </c>
      <c r="I27" s="62" t="s">
        <v>142</v>
      </c>
      <c r="J27" s="63" t="s">
        <v>143</v>
      </c>
      <c r="K27" s="62">
        <v>64766</v>
      </c>
      <c r="L27" s="62" t="s">
        <v>144</v>
      </c>
      <c r="M27" s="63" t="s">
        <v>110</v>
      </c>
      <c r="N27" s="63" t="s">
        <v>73</v>
      </c>
      <c r="O27" s="64" t="s">
        <v>117</v>
      </c>
      <c r="P27" s="65" t="s">
        <v>141</v>
      </c>
    </row>
    <row r="28" spans="1:16" ht="12.75" customHeight="1" thickBot="1">
      <c r="A28" s="11" t="str">
        <f t="shared" si="0"/>
        <v>IBVS 6063 </v>
      </c>
      <c r="B28" s="6" t="str">
        <f t="shared" si="1"/>
        <v>I</v>
      </c>
      <c r="C28" s="11">
        <f t="shared" si="2"/>
        <v>56338.8744</v>
      </c>
      <c r="D28" s="15" t="str">
        <f t="shared" si="3"/>
        <v>vis</v>
      </c>
      <c r="E28" s="61">
        <f>VLOOKUP(C28,Active!C$21:E$972,3,FALSE)</f>
        <v>103708.46567171907</v>
      </c>
      <c r="F28" s="6" t="s">
        <v>73</v>
      </c>
      <c r="G28" s="15" t="str">
        <f t="shared" si="4"/>
        <v>56338.8744</v>
      </c>
      <c r="H28" s="11">
        <f t="shared" si="5"/>
        <v>65795</v>
      </c>
      <c r="I28" s="62" t="s">
        <v>145</v>
      </c>
      <c r="J28" s="63" t="s">
        <v>146</v>
      </c>
      <c r="K28" s="62">
        <v>65795</v>
      </c>
      <c r="L28" s="62" t="s">
        <v>147</v>
      </c>
      <c r="M28" s="63" t="s">
        <v>110</v>
      </c>
      <c r="N28" s="63" t="s">
        <v>148</v>
      </c>
      <c r="O28" s="64" t="s">
        <v>117</v>
      </c>
      <c r="P28" s="65" t="s">
        <v>149</v>
      </c>
    </row>
    <row r="29" spans="1:16" ht="12.75" customHeight="1" thickBot="1">
      <c r="A29" s="11" t="str">
        <f t="shared" si="0"/>
        <v>IBVS 6063 </v>
      </c>
      <c r="B29" s="6" t="str">
        <f t="shared" si="1"/>
        <v>I</v>
      </c>
      <c r="C29" s="11">
        <f t="shared" si="2"/>
        <v>56338.8744</v>
      </c>
      <c r="D29" s="15" t="str">
        <f t="shared" si="3"/>
        <v>vis</v>
      </c>
      <c r="E29" s="61">
        <f>VLOOKUP(C29,Active!C$21:E$972,3,FALSE)</f>
        <v>103708.46567171907</v>
      </c>
      <c r="F29" s="6" t="s">
        <v>73</v>
      </c>
      <c r="G29" s="15" t="str">
        <f t="shared" si="4"/>
        <v>56338.8744</v>
      </c>
      <c r="H29" s="11">
        <f t="shared" si="5"/>
        <v>65795</v>
      </c>
      <c r="I29" s="62" t="s">
        <v>145</v>
      </c>
      <c r="J29" s="63" t="s">
        <v>146</v>
      </c>
      <c r="K29" s="62">
        <v>65795</v>
      </c>
      <c r="L29" s="62" t="s">
        <v>147</v>
      </c>
      <c r="M29" s="63" t="s">
        <v>110</v>
      </c>
      <c r="N29" s="63" t="s">
        <v>150</v>
      </c>
      <c r="O29" s="64" t="s">
        <v>117</v>
      </c>
      <c r="P29" s="65" t="s">
        <v>149</v>
      </c>
    </row>
    <row r="30" spans="1:16" ht="12.75" customHeight="1" thickBot="1">
      <c r="A30" s="11" t="str">
        <f t="shared" si="0"/>
        <v>IBVS 6063 </v>
      </c>
      <c r="B30" s="6" t="str">
        <f t="shared" si="1"/>
        <v>I</v>
      </c>
      <c r="C30" s="11">
        <f t="shared" si="2"/>
        <v>56338.8748</v>
      </c>
      <c r="D30" s="15" t="str">
        <f t="shared" si="3"/>
        <v>vis</v>
      </c>
      <c r="E30" s="61" t="e">
        <f>VLOOKUP(C30,Active!C$21:E$972,3,FALSE)</f>
        <v>#N/A</v>
      </c>
      <c r="F30" s="6" t="s">
        <v>73</v>
      </c>
      <c r="G30" s="15" t="str">
        <f t="shared" si="4"/>
        <v>56338.8748</v>
      </c>
      <c r="H30" s="11">
        <f t="shared" si="5"/>
        <v>65795</v>
      </c>
      <c r="I30" s="62" t="s">
        <v>151</v>
      </c>
      <c r="J30" s="63" t="s">
        <v>146</v>
      </c>
      <c r="K30" s="62">
        <v>65795</v>
      </c>
      <c r="L30" s="62" t="s">
        <v>152</v>
      </c>
      <c r="M30" s="63" t="s">
        <v>110</v>
      </c>
      <c r="N30" s="63" t="s">
        <v>73</v>
      </c>
      <c r="O30" s="64" t="s">
        <v>117</v>
      </c>
      <c r="P30" s="65" t="s">
        <v>149</v>
      </c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</sheetData>
  <sheetProtection/>
  <hyperlinks>
    <hyperlink ref="P11" r:id="rId1" display="http://www.konkoly.hu/cgi-bin/IBVS?5579"/>
    <hyperlink ref="P12" r:id="rId2" display="http://www.konkoly.hu/cgi-bin/IBVS?5579"/>
    <hyperlink ref="P13" r:id="rId3" display="http://www.konkoly.hu/cgi-bin/IBVS?5684"/>
    <hyperlink ref="P14" r:id="rId4" display="http://www.konkoly.hu/cgi-bin/IBVS?5684"/>
    <hyperlink ref="P15" r:id="rId5" display="http://www.konkoly.hu/cgi-bin/IBVS?5684"/>
    <hyperlink ref="P16" r:id="rId6" display="http://www.konkoly.hu/cgi-bin/IBVS?5592"/>
    <hyperlink ref="P17" r:id="rId7" display="http://www.konkoly.hu/cgi-bin/IBVS?5684"/>
    <hyperlink ref="P18" r:id="rId8" display="http://www.konkoly.hu/cgi-bin/IBVS?5684"/>
    <hyperlink ref="P19" r:id="rId9" display="http://www.bav-astro.de/sfs/BAVM_link.php?BAVMnr=209"/>
    <hyperlink ref="P20" r:id="rId10" display="http://www.konkoly.hu/cgi-bin/IBVS?5894"/>
    <hyperlink ref="P21" r:id="rId11" display="http://www.konkoly.hu/cgi-bin/IBVS?5894"/>
    <hyperlink ref="P22" r:id="rId12" display="http://www.konkoly.hu/cgi-bin/IBVS?5945"/>
    <hyperlink ref="P23" r:id="rId13" display="http://www.bav-astro.de/sfs/BAVM_link.php?BAVMnr=234"/>
    <hyperlink ref="P24" r:id="rId14" display="http://www.konkoly.hu/cgi-bin/IBVS?5992"/>
    <hyperlink ref="P25" r:id="rId15" display="http://www.bav-astro.de/sfs/BAVM_link.php?BAVMnr=220"/>
    <hyperlink ref="P26" r:id="rId16" display="http://www.konkoly.hu/cgi-bin/IBVS?6029"/>
    <hyperlink ref="P27" r:id="rId17" display="http://www.konkoly.hu/cgi-bin/IBVS?6029"/>
    <hyperlink ref="P28" r:id="rId18" display="http://www.konkoly.hu/cgi-bin/IBVS?6063"/>
    <hyperlink ref="P29" r:id="rId19" display="http://www.konkoly.hu/cgi-bin/IBVS?6063"/>
    <hyperlink ref="P30" r:id="rId20" display="http://www.konkoly.hu/cgi-bin/IBVS?606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2022-11-13T01:12:36Z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