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<sst xmlns="http://schemas.openxmlformats.org/spreadsheetml/2006/main" count="91" uniqueCount="58">
  <si>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</si>
  <si>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</si>
  <si>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</si>
  <si>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</si>
  <si>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</si>
  <si>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</si>
  <si>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</si>
  <si>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</si>
  <si>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</si>
  <si>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</si>
  <si>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</si>
  <si>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</si>
  <si>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</si>
  <si>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</si>
  <si>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</si>
  <si>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</si>
  <si>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</si>
  <si>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</si>
  <si>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</si>
  <si>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</si>
  <si>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</si>
  <si>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</si>
  <si>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</si>
  <si>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</si>
  <si>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</si>
  <si>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</si>
  <si>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</si>
  <si>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</si>
  <si>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</si>
  <si>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</si>
  <si>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</si>
  <si>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</si>
  <si>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</si>
  <si>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</si>
  <si>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</si>
  <si>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</si>
  <si>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</si>
  <si>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</si>
  <si>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</si>
  <si>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</si>
  <si>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</si>
  <si>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</si>
  <si>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NV Com</t>
  </si>
  <si>
    <t>NV Com / GSC 1994-0303</t>
  </si>
  <si>
    <t>EW</t>
  </si>
  <si>
    <t>BRNO</t>
  </si>
  <si>
    <t>IBVS 6070</t>
  </si>
  <si>
    <t>I</t>
  </si>
  <si>
    <t>OEJV 0160</t>
  </si>
  <si>
    <t>II</t>
  </si>
  <si>
    <t>OEJV 0165</t>
  </si>
  <si>
    <t>G1994-0303</t>
  </si>
  <si>
    <t>vis</t>
  </si>
  <si>
    <t>OEJV 0179</t>
  </si>
  <si>
    <t>CCD?</t>
  </si>
  <si>
    <t>OEJV 0211</t>
  </si>
  <si>
    <t>VSB 067</t>
  </si>
  <si>
    <t>V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</si>
</sst>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0" fontId="29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9" fillId="0" borderId="0" xfId="61" applyFont="1" applyAlignment="1">
      <alignment horizontal="left"/>
      <protection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0" fillId="24" borderId="0" xfId="0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NV Com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0.0007</c:v>
                  </c:pt>
                  <c:pt idx="3">
                    <c:v>0.0007</c:v>
                  </c:pt>
                  <c:pt idx="4">
                    <c:v>0.0008</c:v>
                  </c:pt>
                  <c:pt idx="5">
                    <c:v>0.0004</c:v>
                  </c:pt>
                  <c:pt idx="6">
                    <c:v>0.0004</c:v>
                  </c:pt>
                  <c:pt idx="7">
                    <c:v>0.00037</c:v>
                  </c:pt>
                  <c:pt idx="8">
                    <c:v>0.00041</c:v>
                  </c:pt>
                  <c:pt idx="9">
                    <c:v>0.0003</c:v>
                  </c:pt>
                  <c:pt idx="10">
                    <c:v>0.0024</c:v>
                  </c:pt>
                  <c:pt idx="11">
                    <c:v>0.0029</c:v>
                  </c:pt>
                  <c:pt idx="12">
                    <c:v>0.0007</c:v>
                  </c:pt>
                  <c:pt idx="13">
                    <c:v>0.0005</c:v>
                  </c:pt>
                  <c:pt idx="14">
                    <c:v>0.0014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7375742"/>
        <c:axId val="46619631"/>
      </c:scatterChart>
      <c:valAx>
        <c:axId val="5737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631"/>
        <c:crosses val="autoZero"/>
        <c:crossBetween val="midCat"/>
        <c:dispUnits/>
      </c:valAx>
      <c:valAx>
        <c:axId val="4661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757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958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C5" sqref="C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43</v>
      </c>
    </row>
    <row r="2" spans="1:6" ht="12.75">
      <c r="A2" t="s">
        <v>27</v>
      </c>
      <c r="B2" t="s">
        <v>44</v>
      </c>
      <c r="C2" s="3"/>
      <c r="D2" s="3"/>
      <c r="E2" s="10" t="s">
        <v>42</v>
      </c>
      <c r="F2" t="s">
        <v>51</v>
      </c>
    </row>
    <row r="3" ht="13.5" thickBot="1"/>
    <row r="4" spans="1:4" ht="14.25" thickBot="1" thickTop="1">
      <c r="A4" s="5" t="s">
        <v>4</v>
      </c>
      <c r="C4" s="27" t="s">
        <v>41</v>
      </c>
      <c r="D4" s="28" t="s">
        <v>41</v>
      </c>
    </row>
    <row r="5" spans="1:4" ht="13.5" thickTop="1">
      <c r="A5" s="9" t="s">
        <v>32</v>
      </c>
      <c r="B5" s="10"/>
      <c r="C5" s="11">
        <v>-9.5</v>
      </c>
      <c r="D5" s="10" t="s">
        <v>33</v>
      </c>
    </row>
    <row r="6" ht="12.75">
      <c r="A6" s="5" t="s">
        <v>5</v>
      </c>
    </row>
    <row r="7" spans="1:4" ht="12.75">
      <c r="A7" t="s">
        <v>6</v>
      </c>
      <c r="C7" s="8">
        <v>51248.1779</v>
      </c>
      <c r="D7" s="29" t="s">
        <v>45</v>
      </c>
    </row>
    <row r="8" spans="1:4" ht="12.75">
      <c r="A8" t="s">
        <v>7</v>
      </c>
      <c r="C8" s="8">
        <v>0.370872</v>
      </c>
      <c r="D8" s="29" t="s">
        <v>45</v>
      </c>
    </row>
    <row r="9" spans="1:4" ht="12.75">
      <c r="A9" s="24" t="s">
        <v>36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23</v>
      </c>
      <c r="D10" s="4" t="s">
        <v>24</v>
      </c>
      <c r="E10" s="10"/>
    </row>
    <row r="11" spans="1:5" ht="12.75">
      <c r="A11" s="10" t="s">
        <v>19</v>
      </c>
      <c r="B11" s="10"/>
      <c r="C11" s="21">
        <f ca="1">INTERCEPT(INDIRECT($D$9):G992,INDIRECT($C$9):F992)</f>
        <v>-0.27888374032707897</v>
      </c>
      <c r="D11" s="3"/>
      <c r="E11" s="10"/>
    </row>
    <row r="12" spans="1:5" ht="12.75">
      <c r="A12" s="10" t="s">
        <v>20</v>
      </c>
      <c r="B12" s="10"/>
      <c r="C12" s="21">
        <f ca="1">SLOPE(INDIRECT($D$9):G992,INDIRECT($C$9):F992)</f>
        <v>2.106216657888811E-05</v>
      </c>
      <c r="D12" s="3"/>
      <c r="E12" s="10"/>
    </row>
    <row r="13" spans="1:3" ht="12.75">
      <c r="A13" s="10" t="s">
        <v>22</v>
      </c>
      <c r="B13" s="10"/>
      <c r="C13" s="3" t="s">
        <v>17</v>
      </c>
    </row>
    <row r="14" spans="1:3" ht="12.75">
      <c r="A14" s="10"/>
      <c r="B14" s="10"/>
      <c r="C14" s="10"/>
    </row>
    <row r="15" spans="1:6" ht="12.75">
      <c r="A15" s="12" t="s">
        <v>21</v>
      </c>
      <c r="B15" s="10"/>
      <c r="C15" s="13">
        <f>(C7+C11)+(C8+C12)*INT(MAX(F21:F3533))</f>
        <v>58528.900719651785</v>
      </c>
      <c r="E15" s="14" t="s">
        <v>38</v>
      </c>
      <c r="F15" s="11">
        <v>1</v>
      </c>
    </row>
    <row r="16" spans="1:6" ht="12.75">
      <c r="A16" s="16" t="s">
        <v>8</v>
      </c>
      <c r="B16" s="10"/>
      <c r="C16" s="17">
        <f>+C8+C12</f>
        <v>0.37089306216657886</v>
      </c>
      <c r="E16" s="14" t="s">
        <v>34</v>
      </c>
      <c r="F16" s="15">
        <f ca="1">NOW()+15018.5+$C$5/24</f>
        <v>59896.60759131944</v>
      </c>
    </row>
    <row r="17" spans="1:6" ht="13.5" thickBot="1">
      <c r="A17" s="14" t="s">
        <v>31</v>
      </c>
      <c r="B17" s="10"/>
      <c r="C17" s="10">
        <f>COUNT(C21:C2191)</f>
        <v>16</v>
      </c>
      <c r="E17" s="14" t="s">
        <v>39</v>
      </c>
      <c r="F17" s="15">
        <f>ROUND(2*(F16-$C$7)/$C$8,0)/2+F15</f>
        <v>23320</v>
      </c>
    </row>
    <row r="18" spans="1:6" ht="14.25" thickBot="1" thickTop="1">
      <c r="A18" s="16" t="s">
        <v>9</v>
      </c>
      <c r="B18" s="10"/>
      <c r="C18" s="19">
        <f>+C15</f>
        <v>58528.900719651785</v>
      </c>
      <c r="D18" s="20">
        <f>+C16</f>
        <v>0.37089306216657886</v>
      </c>
      <c r="E18" s="14" t="s">
        <v>40</v>
      </c>
      <c r="F18" s="23">
        <f>ROUND(2*(F16-$C$15)/$C$16,0)/2+F15</f>
        <v>3688.5</v>
      </c>
    </row>
    <row r="19" spans="5:6" ht="13.5" thickTop="1">
      <c r="E19" s="14" t="s">
        <v>35</v>
      </c>
      <c r="F19" s="18">
        <f>+$C$15+$C$16*F18-15018.5-$C$5/24</f>
        <v>44878.83561278655</v>
      </c>
    </row>
    <row r="20" spans="1:21" ht="13.5" thickBot="1">
      <c r="A20" s="4" t="s">
        <v>10</v>
      </c>
      <c r="B20" s="4" t="s">
        <v>11</v>
      </c>
      <c r="C20" s="4" t="s">
        <v>12</v>
      </c>
      <c r="D20" s="4" t="s">
        <v>16</v>
      </c>
      <c r="E20" s="4" t="s">
        <v>13</v>
      </c>
      <c r="F20" s="4" t="s">
        <v>14</v>
      </c>
      <c r="G20" s="4" t="s">
        <v>15</v>
      </c>
      <c r="H20" s="7" t="s">
        <v>3</v>
      </c>
      <c r="I20" s="7" t="s">
        <v>52</v>
      </c>
      <c r="J20" s="7" t="s">
        <v>0</v>
      </c>
      <c r="K20" s="7" t="s">
        <v>2</v>
      </c>
      <c r="L20" s="7" t="s">
        <v>28</v>
      </c>
      <c r="M20" s="7" t="s">
        <v>29</v>
      </c>
      <c r="N20" s="7" t="s">
        <v>30</v>
      </c>
      <c r="O20" s="7" t="s">
        <v>26</v>
      </c>
      <c r="P20" s="6" t="s">
        <v>25</v>
      </c>
      <c r="Q20" s="4" t="s">
        <v>18</v>
      </c>
      <c r="U20" s="26" t="s">
        <v>37</v>
      </c>
    </row>
    <row r="21" spans="1:17" ht="15" customHeight="1">
      <c r="A21" t="str">
        <f>D7</f>
        <v>BRNO</v>
      </c>
      <c r="C21" s="8">
        <f>C$7</f>
        <v>51248.1779</v>
      </c>
      <c r="D21" s="8" t="s">
        <v>17</v>
      </c>
      <c r="E21">
        <f aca="true" t="shared" si="0" ref="E21:E34">+(C21-C$7)/C$8</f>
        <v>0</v>
      </c>
      <c r="F21">
        <f aca="true" t="shared" si="1" ref="F21:F34">ROUND(2*E21,0)/2</f>
        <v>0</v>
      </c>
      <c r="G21">
        <f aca="true" t="shared" si="2" ref="G21:G34">+C21-(C$7+F21*C$8)</f>
        <v>0</v>
      </c>
      <c r="J21">
        <f>+G21</f>
        <v>0</v>
      </c>
      <c r="O21">
        <f aca="true" t="shared" si="3" ref="O21:O34">+C$11+C$12*$F21</f>
        <v>-0.27888374032707897</v>
      </c>
      <c r="Q21" s="2">
        <f aca="true" t="shared" si="4" ref="Q21:Q34">+C21-15018.5</f>
        <v>36229.6779</v>
      </c>
    </row>
    <row r="22" spans="1:18" ht="12.75">
      <c r="A22" s="30" t="s">
        <v>46</v>
      </c>
      <c r="B22" s="31" t="s">
        <v>47</v>
      </c>
      <c r="C22" s="32">
        <v>56035.3898</v>
      </c>
      <c r="D22" s="32">
        <v>0.0005</v>
      </c>
      <c r="E22">
        <f t="shared" si="0"/>
        <v>12907.989548954882</v>
      </c>
      <c r="F22">
        <f t="shared" si="1"/>
        <v>12908</v>
      </c>
      <c r="G22">
        <f t="shared" si="2"/>
        <v>-0.003876000002492219</v>
      </c>
      <c r="J22">
        <f>+G22</f>
        <v>-0.003876000002492219</v>
      </c>
      <c r="O22">
        <f t="shared" si="3"/>
        <v>-0.007013294126791247</v>
      </c>
      <c r="Q22" s="2">
        <f t="shared" si="4"/>
        <v>41016.8898</v>
      </c>
      <c r="R22" t="s">
        <v>0</v>
      </c>
    </row>
    <row r="23" spans="1:18" ht="12.75">
      <c r="A23" s="30" t="s">
        <v>48</v>
      </c>
      <c r="B23" s="31" t="s">
        <v>47</v>
      </c>
      <c r="C23" s="32">
        <v>56407.38474</v>
      </c>
      <c r="D23" s="32">
        <v>0.0007</v>
      </c>
      <c r="E23">
        <f t="shared" si="0"/>
        <v>13911.017386052328</v>
      </c>
      <c r="F23">
        <f t="shared" si="1"/>
        <v>13911</v>
      </c>
      <c r="G23">
        <f t="shared" si="2"/>
        <v>0.00644800000009127</v>
      </c>
      <c r="K23">
        <f aca="true" t="shared" si="5" ref="K23:K34">+G23</f>
        <v>0.00644800000009127</v>
      </c>
      <c r="O23">
        <f t="shared" si="3"/>
        <v>0.01411205895183354</v>
      </c>
      <c r="Q23" s="2">
        <f t="shared" si="4"/>
        <v>41388.88474</v>
      </c>
      <c r="R23" t="s">
        <v>2</v>
      </c>
    </row>
    <row r="24" spans="1:18" ht="12.75">
      <c r="A24" s="32" t="s">
        <v>50</v>
      </c>
      <c r="B24" s="31"/>
      <c r="C24" s="32">
        <v>56407.39242</v>
      </c>
      <c r="D24" s="32">
        <v>0.0007</v>
      </c>
      <c r="E24">
        <f t="shared" si="0"/>
        <v>13911.038094005464</v>
      </c>
      <c r="F24">
        <f t="shared" si="1"/>
        <v>13911</v>
      </c>
      <c r="G24">
        <f t="shared" si="2"/>
        <v>0.014127999995253049</v>
      </c>
      <c r="K24">
        <f t="shared" si="5"/>
        <v>0.014127999995253049</v>
      </c>
      <c r="O24">
        <f t="shared" si="3"/>
        <v>0.01411205895183354</v>
      </c>
      <c r="Q24" s="2">
        <f t="shared" si="4"/>
        <v>41388.89242</v>
      </c>
      <c r="R24" t="s">
        <v>2</v>
      </c>
    </row>
    <row r="25" spans="1:18" ht="12.75">
      <c r="A25" s="30" t="s">
        <v>48</v>
      </c>
      <c r="B25" s="31" t="s">
        <v>47</v>
      </c>
      <c r="C25" s="32">
        <v>56407.39489</v>
      </c>
      <c r="D25" s="32">
        <v>0.0008</v>
      </c>
      <c r="E25">
        <f t="shared" si="0"/>
        <v>13911.044753985205</v>
      </c>
      <c r="F25">
        <f t="shared" si="1"/>
        <v>13911</v>
      </c>
      <c r="G25">
        <f t="shared" si="2"/>
        <v>0.016598000001977198</v>
      </c>
      <c r="K25">
        <f t="shared" si="5"/>
        <v>0.016598000001977198</v>
      </c>
      <c r="O25">
        <f t="shared" si="3"/>
        <v>0.01411205895183354</v>
      </c>
      <c r="Q25" s="2">
        <f t="shared" si="4"/>
        <v>41388.89489</v>
      </c>
      <c r="R25" t="s">
        <v>2</v>
      </c>
    </row>
    <row r="26" spans="1:18" ht="12.75">
      <c r="A26" s="30" t="s">
        <v>48</v>
      </c>
      <c r="B26" s="31" t="s">
        <v>49</v>
      </c>
      <c r="C26" s="32">
        <v>56407.57266</v>
      </c>
      <c r="D26" s="32">
        <v>0.0004</v>
      </c>
      <c r="E26">
        <f t="shared" si="0"/>
        <v>13911.524083780916</v>
      </c>
      <c r="F26">
        <f t="shared" si="1"/>
        <v>13911.5</v>
      </c>
      <c r="G26">
        <f t="shared" si="2"/>
        <v>0.008931999997003004</v>
      </c>
      <c r="K26">
        <f t="shared" si="5"/>
        <v>0.008931999997003004</v>
      </c>
      <c r="O26">
        <f t="shared" si="3"/>
        <v>0.01412259003512295</v>
      </c>
      <c r="Q26" s="2">
        <f t="shared" si="4"/>
        <v>41389.07266</v>
      </c>
      <c r="R26" t="s">
        <v>2</v>
      </c>
    </row>
    <row r="27" spans="1:18" ht="12.75">
      <c r="A27" s="30" t="s">
        <v>48</v>
      </c>
      <c r="B27" s="31" t="s">
        <v>49</v>
      </c>
      <c r="C27" s="32">
        <v>56407.5744</v>
      </c>
      <c r="D27" s="32">
        <v>0.0004</v>
      </c>
      <c r="E27">
        <f t="shared" si="0"/>
        <v>13911.52877542655</v>
      </c>
      <c r="F27">
        <f t="shared" si="1"/>
        <v>13911.5</v>
      </c>
      <c r="G27">
        <f t="shared" si="2"/>
        <v>0.010671999996702652</v>
      </c>
      <c r="K27">
        <f t="shared" si="5"/>
        <v>0.010671999996702652</v>
      </c>
      <c r="O27">
        <f t="shared" si="3"/>
        <v>0.01412259003512295</v>
      </c>
      <c r="Q27" s="2">
        <f t="shared" si="4"/>
        <v>41389.0744</v>
      </c>
      <c r="R27" t="s">
        <v>2</v>
      </c>
    </row>
    <row r="28" spans="1:18" ht="12.75">
      <c r="A28" s="32" t="s">
        <v>50</v>
      </c>
      <c r="B28" s="31"/>
      <c r="C28" s="32">
        <v>56407.5803</v>
      </c>
      <c r="D28" s="32">
        <v>0.00037</v>
      </c>
      <c r="E28">
        <f t="shared" si="0"/>
        <v>13911.54468388015</v>
      </c>
      <c r="F28">
        <f t="shared" si="1"/>
        <v>13911.5</v>
      </c>
      <c r="G28">
        <f t="shared" si="2"/>
        <v>0.016572000000451226</v>
      </c>
      <c r="K28">
        <f t="shared" si="5"/>
        <v>0.016572000000451226</v>
      </c>
      <c r="O28">
        <f t="shared" si="3"/>
        <v>0.01412259003512295</v>
      </c>
      <c r="Q28" s="2">
        <f t="shared" si="4"/>
        <v>41389.0803</v>
      </c>
      <c r="R28" t="s">
        <v>2</v>
      </c>
    </row>
    <row r="29" spans="1:18" ht="12.75">
      <c r="A29" s="32" t="s">
        <v>50</v>
      </c>
      <c r="B29" s="31"/>
      <c r="C29" s="32">
        <v>56407.58204</v>
      </c>
      <c r="D29" s="32">
        <v>0.00041</v>
      </c>
      <c r="E29">
        <f t="shared" si="0"/>
        <v>13911.549375525785</v>
      </c>
      <c r="F29">
        <f t="shared" si="1"/>
        <v>13911.5</v>
      </c>
      <c r="G29">
        <f t="shared" si="2"/>
        <v>0.018312000000150874</v>
      </c>
      <c r="K29">
        <f t="shared" si="5"/>
        <v>0.018312000000150874</v>
      </c>
      <c r="O29">
        <f t="shared" si="3"/>
        <v>0.01412259003512295</v>
      </c>
      <c r="Q29" s="2">
        <f t="shared" si="4"/>
        <v>41389.08204</v>
      </c>
      <c r="R29" t="s">
        <v>2</v>
      </c>
    </row>
    <row r="30" spans="1:18" ht="12.75">
      <c r="A30" s="33" t="s">
        <v>1</v>
      </c>
      <c r="B30" s="34" t="s">
        <v>47</v>
      </c>
      <c r="C30" s="35">
        <v>57123.4062</v>
      </c>
      <c r="D30" s="35">
        <v>0.0003</v>
      </c>
      <c r="E30">
        <f t="shared" si="0"/>
        <v>15841.660465066103</v>
      </c>
      <c r="F30">
        <f t="shared" si="1"/>
        <v>15841.5</v>
      </c>
      <c r="G30">
        <f t="shared" si="2"/>
        <v>0.05951199999253731</v>
      </c>
      <c r="K30">
        <f t="shared" si="5"/>
        <v>0.05951199999253731</v>
      </c>
      <c r="O30">
        <f t="shared" si="3"/>
        <v>0.054772571532377023</v>
      </c>
      <c r="Q30" s="2">
        <f t="shared" si="4"/>
        <v>42104.9062</v>
      </c>
      <c r="R30" t="s">
        <v>54</v>
      </c>
    </row>
    <row r="31" spans="1:18" ht="12.75">
      <c r="A31" s="33" t="s">
        <v>1</v>
      </c>
      <c r="B31" s="34" t="s">
        <v>47</v>
      </c>
      <c r="C31" s="35">
        <v>57465.3682</v>
      </c>
      <c r="D31" s="35">
        <v>0.0024</v>
      </c>
      <c r="E31">
        <f t="shared" si="0"/>
        <v>16763.709042472863</v>
      </c>
      <c r="F31">
        <f t="shared" si="1"/>
        <v>16763.5</v>
      </c>
      <c r="G31">
        <f t="shared" si="2"/>
        <v>0.07752799999434501</v>
      </c>
      <c r="K31">
        <f t="shared" si="5"/>
        <v>0.07752799999434501</v>
      </c>
      <c r="O31">
        <f t="shared" si="3"/>
        <v>0.07419188911811186</v>
      </c>
      <c r="Q31" s="2">
        <f t="shared" si="4"/>
        <v>42446.8682</v>
      </c>
      <c r="R31" t="s">
        <v>54</v>
      </c>
    </row>
    <row r="32" spans="1:18" ht="12.75">
      <c r="A32" s="33" t="s">
        <v>1</v>
      </c>
      <c r="B32" s="34" t="s">
        <v>47</v>
      </c>
      <c r="C32" s="35">
        <v>57465.5478</v>
      </c>
      <c r="D32" s="35">
        <v>0.0029</v>
      </c>
      <c r="E32">
        <f t="shared" si="0"/>
        <v>16764.193306585556</v>
      </c>
      <c r="F32">
        <f t="shared" si="1"/>
        <v>16764</v>
      </c>
      <c r="G32">
        <f t="shared" si="2"/>
        <v>0.07169199999771081</v>
      </c>
      <c r="K32">
        <f t="shared" si="5"/>
        <v>0.07169199999771081</v>
      </c>
      <c r="O32">
        <f t="shared" si="3"/>
        <v>0.07420242020140133</v>
      </c>
      <c r="Q32" s="2">
        <f t="shared" si="4"/>
        <v>42447.0478</v>
      </c>
      <c r="R32" t="s">
        <v>54</v>
      </c>
    </row>
    <row r="33" spans="1:18" ht="12.75">
      <c r="A33" s="36" t="s">
        <v>53</v>
      </c>
      <c r="B33" s="37" t="s">
        <v>49</v>
      </c>
      <c r="C33" s="38">
        <v>57472.59456</v>
      </c>
      <c r="D33" s="38">
        <v>0.0007</v>
      </c>
      <c r="E33">
        <f t="shared" si="0"/>
        <v>16783.19382428438</v>
      </c>
      <c r="F33">
        <f t="shared" si="1"/>
        <v>16783</v>
      </c>
      <c r="G33">
        <f t="shared" si="2"/>
        <v>0.07188399999722606</v>
      </c>
      <c r="K33">
        <f t="shared" si="5"/>
        <v>0.07188399999722606</v>
      </c>
      <c r="O33">
        <f t="shared" si="3"/>
        <v>0.07460260136640018</v>
      </c>
      <c r="Q33" s="2">
        <f t="shared" si="4"/>
        <v>42454.09456</v>
      </c>
      <c r="R33" t="s">
        <v>2</v>
      </c>
    </row>
    <row r="34" spans="1:18" ht="12.75">
      <c r="A34" s="36" t="s">
        <v>53</v>
      </c>
      <c r="B34" s="37" t="s">
        <v>49</v>
      </c>
      <c r="C34" s="38">
        <v>57546.40471</v>
      </c>
      <c r="D34" s="38">
        <v>0.0005</v>
      </c>
      <c r="E34">
        <f t="shared" si="0"/>
        <v>16982.211679501284</v>
      </c>
      <c r="F34">
        <f t="shared" si="1"/>
        <v>16982</v>
      </c>
      <c r="G34">
        <f t="shared" si="2"/>
        <v>0.07850599999801489</v>
      </c>
      <c r="K34">
        <f t="shared" si="5"/>
        <v>0.07850599999801489</v>
      </c>
      <c r="O34">
        <f t="shared" si="3"/>
        <v>0.07879397251559894</v>
      </c>
      <c r="Q34" s="2">
        <f t="shared" si="4"/>
        <v>42527.90471</v>
      </c>
      <c r="R34" t="s">
        <v>2</v>
      </c>
    </row>
    <row r="35" spans="1:17" ht="12.75">
      <c r="A35" s="39" t="s">
        <v>55</v>
      </c>
      <c r="B35" s="40" t="s">
        <v>49</v>
      </c>
      <c r="C35" s="41">
        <v>57869.45739000011</v>
      </c>
      <c r="D35" s="41">
        <v>0.0014</v>
      </c>
      <c r="E35">
        <f>+(C35-C$7)/C$8</f>
        <v>17853.27414849358</v>
      </c>
      <c r="F35" s="45">
        <f>ROUND(2*E35,0)/2-0.5</f>
        <v>17853</v>
      </c>
      <c r="G35">
        <f>+C35-(C$7+F35*C$8)</f>
        <v>0.10167400010686833</v>
      </c>
      <c r="K35">
        <f>+G35</f>
        <v>0.10167400010686833</v>
      </c>
      <c r="O35">
        <f>+C$11+C$12*$F35</f>
        <v>0.09713911960581045</v>
      </c>
      <c r="Q35" s="2">
        <f>+C35-15018.5</f>
        <v>42850.95739000011</v>
      </c>
    </row>
    <row r="36" spans="1:17" ht="12.75">
      <c r="A36" s="42" t="s">
        <v>56</v>
      </c>
      <c r="B36" s="43" t="s">
        <v>49</v>
      </c>
      <c r="C36" s="44">
        <v>58529.0831</v>
      </c>
      <c r="D36" s="44" t="s">
        <v>57</v>
      </c>
      <c r="E36">
        <f>+(C36-C$7)/C$8</f>
        <v>19631.854656053845</v>
      </c>
      <c r="F36" s="45">
        <f>ROUND(2*E36,0)/2-0.5</f>
        <v>19631.5</v>
      </c>
      <c r="G36">
        <f>+C36-(C$7+F36*C$8)</f>
        <v>0.13153199999942444</v>
      </c>
      <c r="K36">
        <f>+G36</f>
        <v>0.13153199999942444</v>
      </c>
      <c r="O36">
        <f>+C$11+C$12*$F36</f>
        <v>0.134598182866363</v>
      </c>
      <c r="Q36" s="2">
        <f>+C36-15018.5</f>
        <v>43510.5831</v>
      </c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35:D36" name="Range1"/>
  </protectedRanges>
  <hyperlinks>
    <hyperlink ref="H1342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