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7890" windowHeight="1371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<sst xmlns="http://schemas.openxmlformats.org/spreadsheetml/2006/main" count="60" uniqueCount="53">
  <si>
    <t>PE</t>
  </si>
  <si>
    <t>CCD</t>
  </si>
  <si>
    <t>pg</t>
  </si>
  <si>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</si>
  <si>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</si>
  <si>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</si>
  <si>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</si>
  <si>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</si>
  <si>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</si>
  <si>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</si>
  <si>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</si>
  <si>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</si>
  <si>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</si>
  <si>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</si>
  <si>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</si>
  <si>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</si>
  <si>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</si>
  <si>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</si>
  <si>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</si>
  <si>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</si>
  <si>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</si>
  <si>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</si>
  <si>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</si>
  <si>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</si>
  <si>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</si>
  <si>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</si>
  <si>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</si>
  <si>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</si>
  <si>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</si>
  <si>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</si>
  <si>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</si>
  <si>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</si>
  <si>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</si>
  <si>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</si>
  <si>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Next ToM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</si>
  <si>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</si>
  <si>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</si>
  <si>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</si>
  <si>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</si>
  <si>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</si>
  <si>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</si>
  <si>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V0634 CrA</t>
  </si>
  <si>
    <t>V0634 CrA / GSC 7910-1208</t>
  </si>
  <si>
    <t>EW</t>
  </si>
  <si>
    <t>Malkov</t>
  </si>
  <si>
    <t>OEJV 0160</t>
  </si>
  <si>
    <t>I</t>
  </si>
  <si>
    <t>G7910-1208</t>
  </si>
  <si>
    <t>vis</t>
  </si>
  <si>
    <t>OEJV 0179</t>
  </si>
  <si>
    <t>JAVSO..44…26</t>
  </si>
  <si>
    <t>II</t>
  </si>
  <si>
    <t>OEJV 0211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</si>
</sst>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0"/>
      <color indexed="20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0"/>
      <color indexed="17"/>
      <name val="Arial"/>
      <family val="2"/>
    </font>
    <font>
      <b/>
      <sz val="10"/>
      <color indexed="30"/>
      <name val="Arial"/>
      <family val="2"/>
    </font>
    <font>
      <sz val="8"/>
      <color indexed="8"/>
      <name val="Arial"/>
      <family val="0"/>
    </font>
    <font>
      <b/>
      <sz val="12"/>
      <color indexed="8"/>
      <name val="Arial"/>
      <family val="0"/>
    </font>
    <font>
      <sz val="7.35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9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4" applyNumberFormat="0" applyFill="0" applyAlignment="0" applyProtection="0"/>
    <xf numFmtId="0" fontId="2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5" applyNumberFormat="0" applyFont="0" applyAlignment="0" applyProtection="0"/>
    <xf numFmtId="0" fontId="25" fillId="20" borderId="6" applyNumberFormat="0" applyAlignment="0" applyProtection="0"/>
    <xf numFmtId="10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27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9" fillId="0" borderId="0" xfId="0" applyFont="1" applyAlignment="1">
      <alignment vertical="top"/>
    </xf>
    <xf numFmtId="0" fontId="0" fillId="0" borderId="0" xfId="0" applyAlignment="1">
      <alignment vertical="top"/>
    </xf>
    <xf numFmtId="0" fontId="10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7" fillId="0" borderId="0" xfId="0" applyFont="1" applyAlignment="1">
      <alignment horizontal="center"/>
    </xf>
    <xf numFmtId="0" fontId="8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7" fillId="0" borderId="0" xfId="0" applyFont="1" applyAlignment="1">
      <alignment horizontal="center"/>
    </xf>
    <xf numFmtId="22" fontId="7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/>
    </xf>
    <xf numFmtId="0" fontId="8" fillId="0" borderId="0" xfId="0" applyFont="1" applyAlignment="1">
      <alignment vertical="top"/>
    </xf>
    <xf numFmtId="0" fontId="10" fillId="0" borderId="0" xfId="0" applyFont="1" applyAlignment="1">
      <alignment horizontal="left"/>
    </xf>
    <xf numFmtId="0" fontId="11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8" fillId="0" borderId="0" xfId="0" applyFont="1" applyAlignment="1">
      <alignment horizontal="left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29" fillId="0" borderId="0" xfId="0" applyFont="1" applyAlignment="1">
      <alignment horizontal="left"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horizontal="left"/>
    </xf>
    <xf numFmtId="0" fontId="5" fillId="0" borderId="0" xfId="62" applyFont="1">
      <alignment/>
      <protection/>
    </xf>
    <xf numFmtId="0" fontId="5" fillId="0" borderId="0" xfId="62" applyFont="1" applyAlignment="1">
      <alignment horizontal="center"/>
      <protection/>
    </xf>
    <xf numFmtId="0" fontId="5" fillId="0" borderId="0" xfId="62" applyFont="1" applyAlignment="1">
      <alignment horizontal="left"/>
      <protection/>
    </xf>
    <xf numFmtId="0" fontId="28" fillId="0" borderId="0" xfId="0" applyFont="1" applyAlignment="1">
      <alignment vertical="top"/>
    </xf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left"/>
    </xf>
    <xf numFmtId="0" fontId="28" fillId="0" borderId="0" xfId="61" applyFont="1">
      <alignment/>
      <protection/>
    </xf>
    <xf numFmtId="0" fontId="28" fillId="0" borderId="0" xfId="61" applyFont="1" applyAlignment="1">
      <alignment horizontal="center"/>
      <protection/>
    </xf>
    <xf numFmtId="0" fontId="28" fillId="0" borderId="0" xfId="61" applyFont="1" applyAlignment="1">
      <alignment horizontal="left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_A" xfId="61"/>
    <cellStyle name="Normal_A_1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V0634 CrA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2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A!$D$21:$D$238</c:f>
                <c:numCache>
                  <c:ptCount val="218"/>
                  <c:pt idx="0">
                    <c:v>0</c:v>
                  </c:pt>
                  <c:pt idx="1">
                    <c:v>0.0001</c:v>
                  </c:pt>
                  <c:pt idx="2">
                    <c:v>0.0003</c:v>
                  </c:pt>
                  <c:pt idx="3">
                    <c:v>0.0001</c:v>
                  </c:pt>
                  <c:pt idx="4">
                    <c:v>0.0003</c:v>
                  </c:pt>
                  <c:pt idx="5">
                    <c:v>0.0001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</c:numCache>
              </c:numRef>
            </c:plus>
            <c:minus>
              <c:numRef>
                <c:f>A!$D$21:$D$238</c:f>
                <c:numCache>
                  <c:ptCount val="218"/>
                  <c:pt idx="0">
                    <c:v>0</c:v>
                  </c:pt>
                  <c:pt idx="1">
                    <c:v>0.0001</c:v>
                  </c:pt>
                  <c:pt idx="2">
                    <c:v>0.0003</c:v>
                  </c:pt>
                  <c:pt idx="3">
                    <c:v>0.0001</c:v>
                  </c:pt>
                  <c:pt idx="4">
                    <c:v>0.0003</c:v>
                  </c:pt>
                  <c:pt idx="5">
                    <c:v>0.0001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A!$H$21:$H$998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A!$D$21:$D$998</c:f>
                <c:numCache>
                  <c:ptCount val="978"/>
                  <c:pt idx="0">
                    <c:v>0</c:v>
                  </c:pt>
                  <c:pt idx="1">
                    <c:v>0.0001</c:v>
                  </c:pt>
                  <c:pt idx="2">
                    <c:v>0.0003</c:v>
                  </c:pt>
                  <c:pt idx="3">
                    <c:v>0.0001</c:v>
                  </c:pt>
                  <c:pt idx="4">
                    <c:v>0.0003</c:v>
                  </c:pt>
                  <c:pt idx="5">
                    <c:v>0.0001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plus>
            <c:minus>
              <c:numRef>
                <c:f>A!$D$21:$D$998</c:f>
                <c:numCache>
                  <c:ptCount val="978"/>
                  <c:pt idx="0">
                    <c:v>0</c:v>
                  </c:pt>
                  <c:pt idx="1">
                    <c:v>0.0001</c:v>
                  </c:pt>
                  <c:pt idx="2">
                    <c:v>0.0003</c:v>
                  </c:pt>
                  <c:pt idx="3">
                    <c:v>0.0001</c:v>
                  </c:pt>
                  <c:pt idx="4">
                    <c:v>0.0003</c:v>
                  </c:pt>
                  <c:pt idx="5">
                    <c:v>0.0001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A!$I$21:$I$998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A!$D$21:$D$998</c:f>
                <c:numCache>
                  <c:ptCount val="978"/>
                  <c:pt idx="0">
                    <c:v>0</c:v>
                  </c:pt>
                  <c:pt idx="1">
                    <c:v>0.0001</c:v>
                  </c:pt>
                  <c:pt idx="2">
                    <c:v>0.0003</c:v>
                  </c:pt>
                  <c:pt idx="3">
                    <c:v>0.0001</c:v>
                  </c:pt>
                  <c:pt idx="4">
                    <c:v>0.0003</c:v>
                  </c:pt>
                  <c:pt idx="5">
                    <c:v>0.0001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plus>
            <c:minus>
              <c:numRef>
                <c:f>A!$D$21:$D$998</c:f>
                <c:numCache>
                  <c:ptCount val="978"/>
                  <c:pt idx="0">
                    <c:v>0</c:v>
                  </c:pt>
                  <c:pt idx="1">
                    <c:v>0.0001</c:v>
                  </c:pt>
                  <c:pt idx="2">
                    <c:v>0.0003</c:v>
                  </c:pt>
                  <c:pt idx="3">
                    <c:v>0.0001</c:v>
                  </c:pt>
                  <c:pt idx="4">
                    <c:v>0.0003</c:v>
                  </c:pt>
                  <c:pt idx="5">
                    <c:v>0.0001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A!$J$21:$J$998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A!$D$21:$D$998</c:f>
                <c:numCache>
                  <c:ptCount val="978"/>
                  <c:pt idx="0">
                    <c:v>0</c:v>
                  </c:pt>
                  <c:pt idx="1">
                    <c:v>0.0001</c:v>
                  </c:pt>
                  <c:pt idx="2">
                    <c:v>0.0003</c:v>
                  </c:pt>
                  <c:pt idx="3">
                    <c:v>0.0001</c:v>
                  </c:pt>
                  <c:pt idx="4">
                    <c:v>0.0003</c:v>
                  </c:pt>
                  <c:pt idx="5">
                    <c:v>0.0001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plus>
            <c:minus>
              <c:numRef>
                <c:f>A!$D$21:$D$998</c:f>
                <c:numCache>
                  <c:ptCount val="978"/>
                  <c:pt idx="0">
                    <c:v>0</c:v>
                  </c:pt>
                  <c:pt idx="1">
                    <c:v>0.0001</c:v>
                  </c:pt>
                  <c:pt idx="2">
                    <c:v>0.0003</c:v>
                  </c:pt>
                  <c:pt idx="3">
                    <c:v>0.0001</c:v>
                  </c:pt>
                  <c:pt idx="4">
                    <c:v>0.0003</c:v>
                  </c:pt>
                  <c:pt idx="5">
                    <c:v>0.0001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A!$K$21:$K$998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A!$D$21:$D$998</c:f>
                <c:numCache>
                  <c:ptCount val="978"/>
                  <c:pt idx="0">
                    <c:v>0</c:v>
                  </c:pt>
                  <c:pt idx="1">
                    <c:v>0.0001</c:v>
                  </c:pt>
                  <c:pt idx="2">
                    <c:v>0.0003</c:v>
                  </c:pt>
                  <c:pt idx="3">
                    <c:v>0.0001</c:v>
                  </c:pt>
                  <c:pt idx="4">
                    <c:v>0.0003</c:v>
                  </c:pt>
                  <c:pt idx="5">
                    <c:v>0.0001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plus>
            <c:minus>
              <c:numRef>
                <c:f>A!$D$21:$D$998</c:f>
                <c:numCache>
                  <c:ptCount val="978"/>
                  <c:pt idx="0">
                    <c:v>0</c:v>
                  </c:pt>
                  <c:pt idx="1">
                    <c:v>0.0001</c:v>
                  </c:pt>
                  <c:pt idx="2">
                    <c:v>0.0003</c:v>
                  </c:pt>
                  <c:pt idx="3">
                    <c:v>0.0001</c:v>
                  </c:pt>
                  <c:pt idx="4">
                    <c:v>0.0003</c:v>
                  </c:pt>
                  <c:pt idx="5">
                    <c:v>0.0001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A!$L$21:$L$998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A!$D$21:$D$998</c:f>
                <c:numCache>
                  <c:ptCount val="978"/>
                  <c:pt idx="0">
                    <c:v>0</c:v>
                  </c:pt>
                  <c:pt idx="1">
                    <c:v>0.0001</c:v>
                  </c:pt>
                  <c:pt idx="2">
                    <c:v>0.0003</c:v>
                  </c:pt>
                  <c:pt idx="3">
                    <c:v>0.0001</c:v>
                  </c:pt>
                  <c:pt idx="4">
                    <c:v>0.0003</c:v>
                  </c:pt>
                  <c:pt idx="5">
                    <c:v>0.0001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plus>
            <c:minus>
              <c:numRef>
                <c:f>A!$D$21:$D$998</c:f>
                <c:numCache>
                  <c:ptCount val="978"/>
                  <c:pt idx="0">
                    <c:v>0</c:v>
                  </c:pt>
                  <c:pt idx="1">
                    <c:v>0.0001</c:v>
                  </c:pt>
                  <c:pt idx="2">
                    <c:v>0.0003</c:v>
                  </c:pt>
                  <c:pt idx="3">
                    <c:v>0.0001</c:v>
                  </c:pt>
                  <c:pt idx="4">
                    <c:v>0.0003</c:v>
                  </c:pt>
                  <c:pt idx="5">
                    <c:v>0.0001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A!$M$21:$M$998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A!$D$21:$D$998</c:f>
                <c:numCache>
                  <c:ptCount val="978"/>
                  <c:pt idx="0">
                    <c:v>0</c:v>
                  </c:pt>
                  <c:pt idx="1">
                    <c:v>0.0001</c:v>
                  </c:pt>
                  <c:pt idx="2">
                    <c:v>0.0003</c:v>
                  </c:pt>
                  <c:pt idx="3">
                    <c:v>0.0001</c:v>
                  </c:pt>
                  <c:pt idx="4">
                    <c:v>0.0003</c:v>
                  </c:pt>
                  <c:pt idx="5">
                    <c:v>0.0001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plus>
            <c:minus>
              <c:numRef>
                <c:f>A!$D$21:$D$998</c:f>
                <c:numCache>
                  <c:ptCount val="978"/>
                  <c:pt idx="0">
                    <c:v>0</c:v>
                  </c:pt>
                  <c:pt idx="1">
                    <c:v>0.0001</c:v>
                  </c:pt>
                  <c:pt idx="2">
                    <c:v>0.0003</c:v>
                  </c:pt>
                  <c:pt idx="3">
                    <c:v>0.0001</c:v>
                  </c:pt>
                  <c:pt idx="4">
                    <c:v>0.0003</c:v>
                  </c:pt>
                  <c:pt idx="5">
                    <c:v>0.0001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A!$N$21:$N$998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A!$F$21:$F$998</c:f>
              <c:numCache/>
            </c:numRef>
          </c:xVal>
          <c:yVal>
            <c:numRef>
              <c:f>A!$O$21:$O$998</c:f>
              <c:numCache/>
            </c:numRef>
          </c:yVal>
          <c:smooth val="0"/>
        </c:ser>
        <c:ser>
          <c:idx val="8"/>
          <c:order val="8"/>
          <c:tx>
            <c:strRef>
              <c:f>A!$U$20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CC9CCC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A!$F$21:$F$998</c:f>
              <c:numCache/>
            </c:numRef>
          </c:xVal>
          <c:yVal>
            <c:numRef>
              <c:f>A!$U$21:$U$998</c:f>
              <c:numCache/>
            </c:numRef>
          </c:yVal>
          <c:smooth val="0"/>
        </c:ser>
        <c:axId val="38980471"/>
        <c:axId val="15279920"/>
      </c:scatterChart>
      <c:valAx>
        <c:axId val="389804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279920"/>
        <c:crosses val="autoZero"/>
        <c:crossBetween val="midCat"/>
        <c:dispUnits/>
      </c:valAx>
      <c:valAx>
        <c:axId val="152799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980471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0725"/>
          <c:y val="0.934"/>
          <c:w val="0.724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0</xdr:row>
      <xdr:rowOff>0</xdr:rowOff>
    </xdr:from>
    <xdr:to>
      <xdr:col>17</xdr:col>
      <xdr:colOff>133350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4533900" y="0"/>
        <a:ext cx="63341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solj.cetus-net.org/bulletin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939"/>
  <sheetViews>
    <sheetView tabSelected="1" zoomScalePageLayoutView="0" workbookViewId="0" topLeftCell="A1">
      <selection activeCell="D5" sqref="D5"/>
    </sheetView>
  </sheetViews>
  <sheetFormatPr defaultColWidth="10.28125" defaultRowHeight="12.75"/>
  <cols>
    <col min="1" max="1" width="14.421875" style="0" customWidth="1"/>
    <col min="2" max="2" width="4.8515625" style="0" customWidth="1"/>
    <col min="3" max="3" width="11.8515625" style="0" customWidth="1"/>
    <col min="4" max="4" width="9.421875" style="0" customWidth="1"/>
    <col min="5" max="5" width="9.8515625" style="0" customWidth="1"/>
    <col min="6" max="6" width="16.8515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  <col min="18" max="18" width="9.140625" style="0" customWidth="1"/>
  </cols>
  <sheetData>
    <row r="1" ht="20.25">
      <c r="A1" s="1" t="s">
        <v>42</v>
      </c>
    </row>
    <row r="2" spans="1:6" ht="12.75">
      <c r="A2" t="s">
        <v>26</v>
      </c>
      <c r="B2" t="s">
        <v>43</v>
      </c>
      <c r="C2" s="3"/>
      <c r="D2" s="3"/>
      <c r="E2" s="10" t="s">
        <v>41</v>
      </c>
      <c r="F2" t="s">
        <v>47</v>
      </c>
    </row>
    <row r="3" ht="13.5" thickBot="1"/>
    <row r="4" spans="1:4" ht="14.25" thickBot="1" thickTop="1">
      <c r="A4" s="5" t="s">
        <v>3</v>
      </c>
      <c r="C4" s="27" t="s">
        <v>40</v>
      </c>
      <c r="D4" s="28" t="s">
        <v>40</v>
      </c>
    </row>
    <row r="5" spans="1:4" ht="13.5" thickTop="1">
      <c r="A5" s="9" t="s">
        <v>31</v>
      </c>
      <c r="B5" s="10"/>
      <c r="C5" s="11">
        <v>-9.5</v>
      </c>
      <c r="D5" s="10" t="s">
        <v>32</v>
      </c>
    </row>
    <row r="6" ht="12.75">
      <c r="A6" s="5" t="s">
        <v>4</v>
      </c>
    </row>
    <row r="7" spans="1:4" ht="12.75">
      <c r="A7" t="s">
        <v>5</v>
      </c>
      <c r="C7" s="8">
        <v>30930.308</v>
      </c>
      <c r="D7" s="29" t="s">
        <v>44</v>
      </c>
    </row>
    <row r="8" spans="1:4" ht="12.75">
      <c r="A8" t="s">
        <v>6</v>
      </c>
      <c r="C8" s="8">
        <v>0.3079578</v>
      </c>
      <c r="D8" s="29" t="s">
        <v>44</v>
      </c>
    </row>
    <row r="9" spans="1:4" ht="12.75">
      <c r="A9" s="24" t="s">
        <v>35</v>
      </c>
      <c r="B9" s="25">
        <v>21</v>
      </c>
      <c r="C9" s="22" t="str">
        <f>"F"&amp;B9</f>
        <v>F21</v>
      </c>
      <c r="D9" s="23" t="str">
        <f>"G"&amp;B9</f>
        <v>G21</v>
      </c>
    </row>
    <row r="10" spans="1:5" ht="13.5" thickBot="1">
      <c r="A10" s="10"/>
      <c r="B10" s="10"/>
      <c r="C10" s="4" t="s">
        <v>22</v>
      </c>
      <c r="D10" s="4" t="s">
        <v>23</v>
      </c>
      <c r="E10" s="10"/>
    </row>
    <row r="11" spans="1:5" ht="12.75">
      <c r="A11" s="10" t="s">
        <v>18</v>
      </c>
      <c r="B11" s="10"/>
      <c r="C11" s="21">
        <f ca="1">INTERCEPT(INDIRECT($D$9):G991,INDIRECT($C$9):F991)</f>
        <v>-0.00020513334056704302</v>
      </c>
      <c r="D11" s="3"/>
      <c r="E11" s="10"/>
    </row>
    <row r="12" spans="1:5" ht="12.75">
      <c r="A12" s="10" t="s">
        <v>19</v>
      </c>
      <c r="B12" s="10"/>
      <c r="C12" s="21">
        <f ca="1">SLOPE(INDIRECT($D$9):G991,INDIRECT($C$9):F991)</f>
        <v>1.301644146812355E-06</v>
      </c>
      <c r="D12" s="3"/>
      <c r="E12" s="10"/>
    </row>
    <row r="13" spans="1:3" ht="12.75">
      <c r="A13" s="10" t="s">
        <v>21</v>
      </c>
      <c r="B13" s="10"/>
      <c r="C13" s="3" t="s">
        <v>16</v>
      </c>
    </row>
    <row r="14" spans="1:3" ht="12.75">
      <c r="A14" s="10"/>
      <c r="B14" s="10"/>
      <c r="C14" s="10"/>
    </row>
    <row r="15" spans="1:6" ht="12.75">
      <c r="A15" s="12" t="s">
        <v>20</v>
      </c>
      <c r="B15" s="10"/>
      <c r="C15" s="13">
        <f>(C7+C11)+(C8+C12)*INT(MAX(F21:F3532))</f>
        <v>58063.35240432586</v>
      </c>
      <c r="E15" s="14" t="s">
        <v>37</v>
      </c>
      <c r="F15" s="11">
        <v>1</v>
      </c>
    </row>
    <row r="16" spans="1:6" ht="12.75">
      <c r="A16" s="16" t="s">
        <v>7</v>
      </c>
      <c r="B16" s="10"/>
      <c r="C16" s="17">
        <f>+C8+C12</f>
        <v>0.3079591016441468</v>
      </c>
      <c r="E16" s="14" t="s">
        <v>33</v>
      </c>
      <c r="F16" s="15">
        <f ca="1">NOW()+15018.5+$C$5/24</f>
        <v>59896.68420821759</v>
      </c>
    </row>
    <row r="17" spans="1:6" ht="13.5" thickBot="1">
      <c r="A17" s="14" t="s">
        <v>30</v>
      </c>
      <c r="B17" s="10"/>
      <c r="C17" s="10">
        <f>COUNT(C21:C2190)</f>
        <v>6</v>
      </c>
      <c r="E17" s="14" t="s">
        <v>38</v>
      </c>
      <c r="F17" s="15">
        <f>ROUND(2*(F16-$C$7)/$C$8,0)/2+F15</f>
        <v>94060.5</v>
      </c>
    </row>
    <row r="18" spans="1:6" ht="14.25" thickBot="1" thickTop="1">
      <c r="A18" s="16" t="s">
        <v>8</v>
      </c>
      <c r="B18" s="10"/>
      <c r="C18" s="19">
        <f>+C15</f>
        <v>58063.35240432586</v>
      </c>
      <c r="D18" s="20">
        <f>+C16</f>
        <v>0.3079591016441468</v>
      </c>
      <c r="E18" s="14" t="s">
        <v>39</v>
      </c>
      <c r="F18" s="23">
        <f>ROUND(2*(F16-$C$15)/$C$16,0)/2+F15</f>
        <v>5954</v>
      </c>
    </row>
    <row r="19" spans="5:6" ht="13.5" thickTop="1">
      <c r="E19" s="14" t="s">
        <v>34</v>
      </c>
      <c r="F19" s="18">
        <f>+$C$15+$C$16*F18-15018.5-$C$5/24</f>
        <v>44878.836728848444</v>
      </c>
    </row>
    <row r="20" spans="1:21" ht="13.5" thickBot="1">
      <c r="A20" s="4" t="s">
        <v>9</v>
      </c>
      <c r="B20" s="4" t="s">
        <v>10</v>
      </c>
      <c r="C20" s="4" t="s">
        <v>11</v>
      </c>
      <c r="D20" s="4" t="s">
        <v>15</v>
      </c>
      <c r="E20" s="4" t="s">
        <v>12</v>
      </c>
      <c r="F20" s="4" t="s">
        <v>13</v>
      </c>
      <c r="G20" s="4" t="s">
        <v>14</v>
      </c>
      <c r="H20" s="7" t="s">
        <v>2</v>
      </c>
      <c r="I20" s="7" t="s">
        <v>48</v>
      </c>
      <c r="J20" s="7" t="s">
        <v>0</v>
      </c>
      <c r="K20" s="7" t="s">
        <v>1</v>
      </c>
      <c r="L20" s="7" t="s">
        <v>27</v>
      </c>
      <c r="M20" s="7" t="s">
        <v>28</v>
      </c>
      <c r="N20" s="7" t="s">
        <v>29</v>
      </c>
      <c r="O20" s="7" t="s">
        <v>25</v>
      </c>
      <c r="P20" s="6" t="s">
        <v>24</v>
      </c>
      <c r="Q20" s="4" t="s">
        <v>17</v>
      </c>
      <c r="U20" s="26" t="s">
        <v>36</v>
      </c>
    </row>
    <row r="21" spans="1:17" ht="12.75">
      <c r="A21" t="str">
        <f>D7</f>
        <v>Malkov</v>
      </c>
      <c r="C21" s="8">
        <f>C$7</f>
        <v>30930.308</v>
      </c>
      <c r="D21" s="8" t="s">
        <v>16</v>
      </c>
      <c r="E21">
        <f aca="true" t="shared" si="0" ref="E21:E26">+(C21-C$7)/C$8</f>
        <v>0</v>
      </c>
      <c r="F21">
        <f>ROUND(2*E21,0)/2</f>
        <v>0</v>
      </c>
      <c r="G21">
        <f aca="true" t="shared" si="1" ref="G21:G26">+C21-(C$7+F21*C$8)</f>
        <v>0</v>
      </c>
      <c r="I21">
        <f>+G21</f>
        <v>0</v>
      </c>
      <c r="O21">
        <f aca="true" t="shared" si="2" ref="O21:O26">+C$11+C$12*$F21</f>
        <v>-0.00020513334056704302</v>
      </c>
      <c r="Q21" s="2">
        <f aca="true" t="shared" si="3" ref="Q21:Q26">+C21-15018.5</f>
        <v>15911.808</v>
      </c>
    </row>
    <row r="22" spans="1:17" ht="12.75">
      <c r="A22" s="30" t="s">
        <v>45</v>
      </c>
      <c r="B22" s="31" t="s">
        <v>46</v>
      </c>
      <c r="C22" s="32">
        <v>56514.46956</v>
      </c>
      <c r="D22" s="32">
        <v>0.0001</v>
      </c>
      <c r="E22">
        <f t="shared" si="0"/>
        <v>83076.84221669332</v>
      </c>
      <c r="F22">
        <f>ROUND(2*E22,0)/2-0.5</f>
        <v>83076.5</v>
      </c>
      <c r="G22">
        <f t="shared" si="1"/>
        <v>0.10538829999859445</v>
      </c>
      <c r="K22">
        <f>+G22</f>
        <v>0.10538829999859445</v>
      </c>
      <c r="O22">
        <f t="shared" si="2"/>
        <v>0.10793090662208957</v>
      </c>
      <c r="Q22" s="2">
        <f t="shared" si="3"/>
        <v>41495.96956</v>
      </c>
    </row>
    <row r="23" spans="1:17" ht="12.75">
      <c r="A23" s="33" t="s">
        <v>50</v>
      </c>
      <c r="B23" s="34" t="s">
        <v>51</v>
      </c>
      <c r="C23" s="35">
        <v>57151.1775</v>
      </c>
      <c r="D23" s="35">
        <v>0.0003</v>
      </c>
      <c r="E23">
        <f t="shared" si="0"/>
        <v>85144.35906478095</v>
      </c>
      <c r="F23">
        <f>ROUND(2*E23,0)/2-0.5</f>
        <v>85144</v>
      </c>
      <c r="G23">
        <f t="shared" si="1"/>
        <v>0.11057679999794345</v>
      </c>
      <c r="K23">
        <f>+G23</f>
        <v>0.11057679999794345</v>
      </c>
      <c r="O23">
        <f t="shared" si="2"/>
        <v>0.11062205589562411</v>
      </c>
      <c r="Q23" s="2">
        <f t="shared" si="3"/>
        <v>42132.6775</v>
      </c>
    </row>
    <row r="24" spans="1:17" ht="12.75">
      <c r="A24" s="36" t="s">
        <v>49</v>
      </c>
      <c r="B24" s="37" t="s">
        <v>46</v>
      </c>
      <c r="C24" s="38">
        <v>57194.75198</v>
      </c>
      <c r="D24" s="38">
        <v>0.0001</v>
      </c>
      <c r="E24">
        <f t="shared" si="0"/>
        <v>85285.85403584517</v>
      </c>
      <c r="F24">
        <f>ROUND(2*E24,0)/2-0.5</f>
        <v>85285.5</v>
      </c>
      <c r="G24">
        <f t="shared" si="1"/>
        <v>0.10902809999970486</v>
      </c>
      <c r="K24">
        <f>+G24</f>
        <v>0.10902809999970486</v>
      </c>
      <c r="O24">
        <f t="shared" si="2"/>
        <v>0.11080623854239806</v>
      </c>
      <c r="Q24" s="2">
        <f t="shared" si="3"/>
        <v>42176.25198</v>
      </c>
    </row>
    <row r="25" spans="1:17" ht="12.75">
      <c r="A25" s="39" t="s">
        <v>50</v>
      </c>
      <c r="B25" s="40" t="s">
        <v>51</v>
      </c>
      <c r="C25" s="41">
        <v>57151.17750000022</v>
      </c>
      <c r="D25" s="41">
        <v>0.0003</v>
      </c>
      <c r="E25">
        <f t="shared" si="0"/>
        <v>85144.35906478167</v>
      </c>
      <c r="F25">
        <f>ROUND(2*E25,0)/2-0.5</f>
        <v>85144</v>
      </c>
      <c r="G25">
        <f t="shared" si="1"/>
        <v>0.11057680022349814</v>
      </c>
      <c r="K25">
        <f>+G25</f>
        <v>0.11057680022349814</v>
      </c>
      <c r="O25">
        <f t="shared" si="2"/>
        <v>0.11062205589562411</v>
      </c>
      <c r="Q25" s="2">
        <f t="shared" si="3"/>
        <v>42132.67750000022</v>
      </c>
    </row>
    <row r="26" spans="1:17" ht="12.75">
      <c r="A26" s="42" t="s">
        <v>52</v>
      </c>
      <c r="B26" s="43" t="s">
        <v>46</v>
      </c>
      <c r="C26" s="44">
        <v>58063.51059000008</v>
      </c>
      <c r="D26" s="44">
        <v>0.0001</v>
      </c>
      <c r="E26">
        <f t="shared" si="0"/>
        <v>88106.88539144024</v>
      </c>
      <c r="F26">
        <f>ROUND(2*E26,0)/2-0.5</f>
        <v>88106.5</v>
      </c>
      <c r="G26">
        <f t="shared" si="1"/>
        <v>0.11868430007598363</v>
      </c>
      <c r="K26">
        <f>+G26</f>
        <v>0.11868430007598363</v>
      </c>
      <c r="O26">
        <f t="shared" si="2"/>
        <v>0.11447817668055571</v>
      </c>
      <c r="Q26" s="2">
        <f t="shared" si="3"/>
        <v>43045.01059000008</v>
      </c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4" ht="12.75">
      <c r="C33" s="8"/>
      <c r="D33" s="8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</sheetData>
  <sheetProtection/>
  <protectedRanges>
    <protectedRange sqref="A25:D26" name="Range1"/>
  </protectedRanges>
  <hyperlinks>
    <hyperlink ref="H1300" r:id="rId1" display="http://vsolj.cetus-net.org/bulletin.html"/>
  </hyperlinks>
  <printOptions/>
  <pageMargins left="0.75" right="0.75" top="1" bottom="1" header="0.5" footer="0.5"/>
  <pageSetup horizontalDpi="300" verticalDpi="300" orientation="portrait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2022-11-13T03:25:15Z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