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7890" windowHeight="12120" activeTab="0"/>
  </bookViews>
  <sheets>
    <sheet name="A" sheetId="1" r:id="rId1"/>
    <sheet name="A (2)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<sst xmlns="http://schemas.openxmlformats.org/spreadsheetml/2006/main" count="515" uniqueCount="183">
  <si>
    <t>IBVS 6244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</si>
  <si>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</si>
  <si>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</si>
  <si>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</si>
  <si>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</si>
  <si>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</si>
  <si>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</si>
  <si>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</si>
  <si>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</si>
  <si>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</si>
  <si>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</si>
  <si>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</si>
  <si>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</si>
  <si>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</si>
  <si>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</si>
  <si>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</si>
  <si>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</si>
  <si>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</si>
  <si>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</si>
  <si>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</si>
  <si>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</si>
  <si>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</si>
  <si>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</si>
  <si>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</si>
  <si>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</si>
  <si>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</si>
  <si>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</si>
  <si>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</si>
  <si>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</si>
  <si>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</si>
  <si>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BBSAG Bull.100</t>
  </si>
  <si>
    <t>IBVS 5251</t>
  </si>
  <si>
    <t>I</t>
  </si>
  <si>
    <t>IBVS 5067</t>
  </si>
  <si>
    <t>II</t>
  </si>
  <si>
    <t>IBVS 4597</t>
  </si>
  <si>
    <t>EA/AR:/RS</t>
  </si>
  <si>
    <t>IBVS 2189</t>
  </si>
  <si>
    <t># of data points:</t>
  </si>
  <si>
    <t>RT CrB / GSC 02039-01337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</si>
  <si>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</si>
  <si>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</si>
  <si>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</si>
  <si>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</si>
  <si>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</si>
  <si>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</si>
  <si>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</si>
  <si>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IBVS 5643</t>
  </si>
  <si>
    <t>IBVS 5894</t>
  </si>
  <si>
    <t>Add cycle</t>
  </si>
  <si>
    <t>Old Cycle</t>
  </si>
  <si>
    <t>PE</t>
  </si>
  <si>
    <t>IBVS 5918</t>
  </si>
  <si>
    <t>IBVS 5959</t>
  </si>
  <si>
    <t>IBVS 5992</t>
  </si>
  <si>
    <t>IBVS 6010</t>
  </si>
  <si>
    <t>Popper &amp; Dumont 1977</t>
  </si>
  <si>
    <t>Zhai et al 1982</t>
  </si>
  <si>
    <t>Pohl et al 1982</t>
  </si>
  <si>
    <t>IBVS 6029</t>
  </si>
  <si>
    <t> 04.07.1934 21:25 </t>
  </si>
  <si>
    <t> 0.029 </t>
  </si>
  <si>
    <t> F.Lause </t>
  </si>
  <si>
    <t> AN 259.189 </t>
  </si>
  <si>
    <t> 10.07.1934 00:05 </t>
  </si>
  <si>
    <t> 0.023 </t>
  </si>
  <si>
    <t> 09.08.1934 17:18 </t>
  </si>
  <si>
    <t> 0.037 </t>
  </si>
  <si>
    <t> AN 259.190 </t>
  </si>
  <si>
    <t> 29.09.1934 20:51 </t>
  </si>
  <si>
    <t> 0.013 </t>
  </si>
  <si>
    <t> 12.06.1935 17:15 </t>
  </si>
  <si>
    <t> 0.006 </t>
  </si>
  <si>
    <t> 22.06.1935 23:31 </t>
  </si>
  <si>
    <t> 0.032 </t>
  </si>
  <si>
    <t> 07.08.1935 23:51 </t>
  </si>
  <si>
    <t> -0.008 </t>
  </si>
  <si>
    <t> 22.09.1935 23:48 </t>
  </si>
  <si>
    <t> -0.065 </t>
  </si>
  <si>
    <t> 02.11.1935 21:59 </t>
  </si>
  <si>
    <t> -0.078 </t>
  </si>
  <si>
    <t> 14.04.1936 18:44 </t>
  </si>
  <si>
    <t> 0.038 </t>
  </si>
  <si>
    <t> M.Beyer </t>
  </si>
  <si>
    <t> AN 273.158 </t>
  </si>
  <si>
    <t> 02.06.1957 23:24 </t>
  </si>
  <si>
    <t> -0.002 </t>
  </si>
  <si>
    <t>P </t>
  </si>
  <si>
    <t> H.Huth </t>
  </si>
  <si>
    <t> MVS 2.122 </t>
  </si>
  <si>
    <t> 19.07.1958 22:40 </t>
  </si>
  <si>
    <t> 0.036 </t>
  </si>
  <si>
    <t> 17.04.1959 01:26 </t>
  </si>
  <si>
    <t> -0.058 </t>
  </si>
  <si>
    <t> 07.07.1959 22:26 </t>
  </si>
  <si>
    <t> 05.06.1973 08:24 </t>
  </si>
  <si>
    <t> 0.018 </t>
  </si>
  <si>
    <t>?</t>
  </si>
  <si>
    <t> D.M.Popper </t>
  </si>
  <si>
    <t> AA 30.405 </t>
  </si>
  <si>
    <t> 17.07.1980 20:43 </t>
  </si>
  <si>
    <t> 0.0154 </t>
  </si>
  <si>
    <t> Ertan &amp; Keskin </t>
  </si>
  <si>
    <t>IBVS 2189 </t>
  </si>
  <si>
    <t> 05.07.1981 22:44 </t>
  </si>
  <si>
    <t> 0.0151 </t>
  </si>
  <si>
    <t> Ertan &amp; Eker </t>
  </si>
  <si>
    <t> 04.03.1992 02:00 </t>
  </si>
  <si>
    <t> -0.0068 </t>
  </si>
  <si>
    <t> R.Diethelm </t>
  </si>
  <si>
    <t> BBS 100 </t>
  </si>
  <si>
    <t> 10.07.1997 20:08 </t>
  </si>
  <si>
    <t> -0.0061 </t>
  </si>
  <si>
    <t> Sandberg Lacy et a </t>
  </si>
  <si>
    <t>IBVS 4597 </t>
  </si>
  <si>
    <t> 25.03.2001 07:19 </t>
  </si>
  <si>
    <t> -0.0282 </t>
  </si>
  <si>
    <t>IBVS 5067 </t>
  </si>
  <si>
    <t> 02.04.2001 00:02 </t>
  </si>
  <si>
    <t> -0.007 </t>
  </si>
  <si>
    <t> BBS 125 </t>
  </si>
  <si>
    <t> 12.04.2001 05:32 </t>
  </si>
  <si>
    <t> -0.0124 </t>
  </si>
  <si>
    <t>G</t>
  </si>
  <si>
    <t> C.Lacy et al. </t>
  </si>
  <si>
    <t>IBVS 5251 </t>
  </si>
  <si>
    <t> 01.05.2002 00:33 </t>
  </si>
  <si>
    <t> -0.0071 </t>
  </si>
  <si>
    <t> E.Blättler </t>
  </si>
  <si>
    <t> BBS 128 </t>
  </si>
  <si>
    <t> 13.04.2003 23:13 </t>
  </si>
  <si>
    <t> -0.0293 </t>
  </si>
  <si>
    <t>-I</t>
  </si>
  <si>
    <t> K. &amp; M. Rätz </t>
  </si>
  <si>
    <t>BAVM 172 </t>
  </si>
  <si>
    <t> 23.05.2009 01:22 </t>
  </si>
  <si>
    <t>5218</t>
  </si>
  <si>
    <t> -0.0213 </t>
  </si>
  <si>
    <t> P.Frank </t>
  </si>
  <si>
    <t>BAVM 209 </t>
  </si>
  <si>
    <t> 02.06.2009 07:04 </t>
  </si>
  <si>
    <t>5220</t>
  </si>
  <si>
    <t> -0.018 </t>
  </si>
  <si>
    <t>V</t>
  </si>
  <si>
    <t>IBVS 5894 </t>
  </si>
  <si>
    <t> 26.03.2010 01:49 </t>
  </si>
  <si>
    <t>5278</t>
  </si>
  <si>
    <t> -0.0321 </t>
  </si>
  <si>
    <t> F.Agerer </t>
  </si>
  <si>
    <t>BAVM 214 </t>
  </si>
  <si>
    <t> 07.04.2010 21:30 </t>
  </si>
  <si>
    <t>5280.5</t>
  </si>
  <si>
    <t> -0.0048 </t>
  </si>
  <si>
    <t> 09.03.2011 01:08 </t>
  </si>
  <si>
    <t>5346</t>
  </si>
  <si>
    <t> -0.0271 </t>
  </si>
  <si>
    <t>BAVM 220 </t>
  </si>
  <si>
    <t> 04.05.2011 08:10 </t>
  </si>
  <si>
    <t>5357</t>
  </si>
  <si>
    <t> -0.0234 </t>
  </si>
  <si>
    <t>IBVS 5992 </t>
  </si>
  <si>
    <t> 01.08.2011 21:31 </t>
  </si>
  <si>
    <t>5374.5</t>
  </si>
  <si>
    <t> -0.0169 </t>
  </si>
  <si>
    <t>BAVM 225 </t>
  </si>
  <si>
    <t> 21.04.2012 10:13 </t>
  </si>
  <si>
    <t>5426</t>
  </si>
  <si>
    <t> -0.0215 </t>
  </si>
  <si>
    <t>IBVS 6029 </t>
  </si>
  <si>
    <t>vis </t>
  </si>
  <si>
    <t>PE </t>
  </si>
  <si>
    <t>CCD </t>
  </si>
  <si>
    <t>pg</t>
  </si>
  <si>
    <t>vis</t>
  </si>
  <si>
    <t>CCD</t>
  </si>
  <si>
    <t>BAD</t>
  </si>
  <si>
    <t>Qian et al. 2003NewA….8..457</t>
  </si>
  <si>
    <t>Qian</t>
  </si>
  <si>
    <t>s5</t>
  </si>
  <si>
    <t>s6</t>
  </si>
  <si>
    <t>IBVS 6149</t>
  </si>
  <si>
    <t>OEJV 0172</t>
  </si>
  <si>
    <t>Both files active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</si>
</sst>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32" fillId="20" borderId="6" applyNumberFormat="0" applyAlignment="0" applyProtection="0"/>
    <xf numFmtId="1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14" fontId="0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24" borderId="5" xfId="0" applyFont="1" applyFill="1" applyBorder="1" applyAlignment="1">
      <alignment horizontal="left" vertical="top" wrapText="1" indent="1"/>
    </xf>
    <xf numFmtId="0" fontId="5" fillId="24" borderId="5" xfId="0" applyFont="1" applyFill="1" applyBorder="1" applyAlignment="1">
      <alignment horizontal="center" vertical="top" wrapText="1"/>
    </xf>
    <xf numFmtId="0" fontId="15" fillId="24" borderId="5" xfId="57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14" fillId="0" borderId="0" xfId="62" applyFont="1" applyAlignment="1">
      <alignment horizontal="left"/>
      <protection/>
    </xf>
    <xf numFmtId="0" fontId="14" fillId="0" borderId="0" xfId="62" applyFont="1" applyAlignment="1">
      <alignment horizontal="left" wrapText="1"/>
      <protection/>
    </xf>
    <xf numFmtId="0" fontId="37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RT CrB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05"/>
          <c:w val="0.905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5"/>
          <c:order val="4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5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6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ser>
          <c:idx val="2"/>
          <c:order val="7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A!$U$21:$U$992</c:f>
              <c:numCache/>
            </c:numRef>
          </c:yVal>
          <c:smooth val="0"/>
        </c:ser>
        <c:axId val="56951333"/>
        <c:axId val="2169826"/>
      </c:scatterChart>
      <c:valAx>
        <c:axId val="56951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9826"/>
        <c:crosses val="autoZero"/>
        <c:crossBetween val="midCat"/>
        <c:dispUnits/>
      </c:valAx>
      <c:valAx>
        <c:axId val="2169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133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"/>
          <c:y val="0.9305"/>
          <c:w val="0.716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RT CrB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06"/>
          <c:w val="0.90525"/>
          <c:h val="0.7595"/>
        </c:manualLayout>
      </c:layout>
      <c:scatterChart>
        <c:scatterStyle val="lineMarker"/>
        <c:varyColors val="0"/>
        <c:ser>
          <c:idx val="3"/>
          <c:order val="0"/>
          <c:tx>
            <c:strRef>
              <c:f>'A (2)'!$J$20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</c:numCache>
              </c:numRef>
            </c:plus>
            <c:minus>
              <c:numRef>
                <c:f>'A (2)'!$D$21:$D$43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(2)'!$F$21:$F$992</c:f>
              <c:numCache/>
            </c:numRef>
          </c:xVal>
          <c:yVal>
            <c:numRef>
              <c:f>'A (2)'!$J$21:$J$992</c:f>
              <c:numCache/>
            </c:numRef>
          </c:yVal>
          <c:smooth val="0"/>
        </c:ser>
        <c:ser>
          <c:idx val="4"/>
          <c:order val="1"/>
          <c:tx>
            <c:strRef>
              <c:f>'A (2)'!$K$20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(2)'!$F$21:$F$992</c:f>
              <c:numCache/>
            </c:numRef>
          </c:xVal>
          <c:yVal>
            <c:numRef>
              <c:f>'A (2)'!$K$21:$K$992</c:f>
              <c:numCache/>
            </c:numRef>
          </c:yVal>
          <c:smooth val="0"/>
        </c:ser>
        <c:ser>
          <c:idx val="2"/>
          <c:order val="2"/>
          <c:tx>
            <c:strRef>
              <c:f>'A (2)'!$L$20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(2)'!$F$21:$F$992</c:f>
              <c:numCache/>
            </c:numRef>
          </c:xVal>
          <c:yVal>
            <c:numRef>
              <c:f>'A (2)'!$L$21:$L$992</c:f>
              <c:numCache/>
            </c:numRef>
          </c:yVal>
          <c:smooth val="0"/>
        </c:ser>
        <c:ser>
          <c:idx val="5"/>
          <c:order val="3"/>
          <c:tx>
            <c:strRef>
              <c:f>'A (2)'!$M$20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(2)'!$F$21:$F$992</c:f>
              <c:numCache/>
            </c:numRef>
          </c:xVal>
          <c:yVal>
            <c:numRef>
              <c:f>'A (2)'!$M$21:$M$992</c:f>
              <c:numCache/>
            </c:numRef>
          </c:yVal>
          <c:smooth val="0"/>
        </c:ser>
        <c:ser>
          <c:idx val="6"/>
          <c:order val="4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(2)'!$F$21:$F$992</c:f>
              <c:numCache/>
            </c:numRef>
          </c:xVal>
          <c:yVal>
            <c:numRef>
              <c:f>'A (2)'!$N$21:$N$992</c:f>
              <c:numCache/>
            </c:numRef>
          </c:yVal>
          <c:smooth val="0"/>
        </c:ser>
        <c:ser>
          <c:idx val="7"/>
          <c:order val="5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(2)'!$F$21:$F$992</c:f>
              <c:numCache/>
            </c:numRef>
          </c:xVal>
          <c:yVal>
            <c:numRef>
              <c:f>'A (2)'!$O$21:$O$992</c:f>
              <c:numCache/>
            </c:numRef>
          </c:yVal>
          <c:smooth val="0"/>
        </c:ser>
        <c:axId val="28207739"/>
        <c:axId val="31156288"/>
      </c:scatterChart>
      <c:valAx>
        <c:axId val="2820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6288"/>
        <c:crosses val="autoZero"/>
        <c:crossBetween val="midCat"/>
        <c:dispUnits/>
      </c:valAx>
      <c:valAx>
        <c:axId val="31156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773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3"/>
          <c:w val="0.542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RT CrB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055"/>
          <c:w val="0.9055"/>
          <c:h val="0.76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(2)'!$F$21:$F$992</c:f>
              <c:numCache/>
            </c:numRef>
          </c:xVal>
          <c:yVal>
            <c:numRef>
              <c:f>'A (2)'!$H$21:$H$992</c:f>
              <c:numCache/>
            </c:numRef>
          </c:yVal>
          <c:smooth val="0"/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(2)'!$D$21:$D$992</c:f>
                <c:numCach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'A (2)'!$D$21:$D$992</c:f>
                <c:numCach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(2)'!$F$21:$F$992</c:f>
              <c:numCache/>
            </c:numRef>
          </c:xVal>
          <c:yVal>
            <c:numRef>
              <c:f>'A (2)'!$I$21:$I$992</c:f>
              <c:numCache/>
            </c:numRef>
          </c:yVal>
          <c:smooth val="0"/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</c:numCache>
              </c:numRef>
            </c:plus>
            <c:minus>
              <c:numRef>
                <c:f>'A (2)'!$D$21:$D$43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(2)'!$F$21:$F$992</c:f>
              <c:numCache/>
            </c:numRef>
          </c:xVal>
          <c:yVal>
            <c:numRef>
              <c:f>'A (2)'!$J$21:$J$992</c:f>
              <c:numCache/>
            </c:numRef>
          </c:yVal>
          <c:smooth val="0"/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(2)'!$F$21:$F$992</c:f>
              <c:numCache/>
            </c:numRef>
          </c:xVal>
          <c:yVal>
            <c:numRef>
              <c:f>'A (2)'!$K$21:$K$992</c:f>
              <c:numCache/>
            </c:numRef>
          </c:yVal>
          <c:smooth val="0"/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(2)'!$F$21:$F$992</c:f>
              <c:numCache/>
            </c:numRef>
          </c:xVal>
          <c:yVal>
            <c:numRef>
              <c:f>'A (2)'!$L$21:$L$992</c:f>
              <c:numCache/>
            </c:numRef>
          </c:yVal>
          <c:smooth val="0"/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(2)'!$F$21:$F$992</c:f>
              <c:numCache/>
            </c:numRef>
          </c:xVal>
          <c:yVal>
            <c:numRef>
              <c:f>'A (2)'!$M$21:$M$992</c:f>
              <c:numCache/>
            </c:numRef>
          </c:yVal>
          <c:smooth val="0"/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  <c:pt idx="23">
                    <c:v>0.001</c:v>
                  </c:pt>
                  <c:pt idx="24">
                    <c:v>0.0011</c:v>
                  </c:pt>
                  <c:pt idx="25">
                    <c:v>0</c:v>
                  </c:pt>
                  <c:pt idx="26">
                    <c:v>0.0009</c:v>
                  </c:pt>
                  <c:pt idx="27">
                    <c:v>0</c:v>
                  </c:pt>
                  <c:pt idx="28">
                    <c:v>0.0008</c:v>
                  </c:pt>
                  <c:pt idx="29">
                    <c:v>0.0012</c:v>
                  </c:pt>
                  <c:pt idx="30">
                    <c:v>0.0007</c:v>
                  </c:pt>
                  <c:pt idx="31">
                    <c:v>0.0094</c:v>
                  </c:pt>
                  <c:pt idx="32">
                    <c:v>0.0078</c:v>
                  </c:pt>
                  <c:pt idx="33">
                    <c:v>0.0076</c:v>
                  </c:pt>
                  <c:pt idx="34">
                    <c:v>0.0007</c:v>
                  </c:pt>
                  <c:pt idx="35">
                    <c:v>0</c:v>
                  </c:pt>
                  <c:pt idx="36">
                    <c:v>0.0018</c:v>
                  </c:pt>
                  <c:pt idx="37">
                    <c:v>0.0212</c:v>
                  </c:pt>
                  <c:pt idx="38">
                    <c:v>0.01</c:v>
                  </c:pt>
                  <c:pt idx="39">
                    <c:v>0.0106</c:v>
                  </c:pt>
                  <c:pt idx="40">
                    <c:v>0.0027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(2)'!$F$21:$F$992</c:f>
              <c:numCache/>
            </c:numRef>
          </c:xVal>
          <c:yVal>
            <c:numRef>
              <c:f>'A (2)'!$N$21:$N$992</c:f>
              <c:numCache/>
            </c:numRef>
          </c:yVal>
          <c:smooth val="0"/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(2)'!$F$21:$F$992</c:f>
              <c:numCache/>
            </c:numRef>
          </c:xVal>
          <c:yVal>
            <c:numRef>
              <c:f>'A (2)'!$O$21:$O$992</c:f>
              <c:numCache/>
            </c:numRef>
          </c:yVal>
          <c:smooth val="0"/>
        </c:ser>
        <c:ser>
          <c:idx val="8"/>
          <c:order val="8"/>
          <c:tx>
            <c:strRef>
              <c:f>'A (2)'!$R$20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(2)'!$F$21:$F$992</c:f>
              <c:numCache/>
            </c:numRef>
          </c:xVal>
          <c:yVal>
            <c:numRef>
              <c:f>'A (2)'!$R$21:$R$992</c:f>
              <c:numCache/>
            </c:numRef>
          </c:yVal>
          <c:smooth val="0"/>
        </c:ser>
        <c:axId val="2378561"/>
        <c:axId val="30921294"/>
      </c:scatterChart>
      <c:valAx>
        <c:axId val="237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21294"/>
        <c:crosses val="autoZero"/>
        <c:crossBetween val="midCat"/>
        <c:dispUnits/>
      </c:valAx>
      <c:valAx>
        <c:axId val="30921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5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4"/>
          <c:y val="0.93025"/>
          <c:w val="0.795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RT CrB - Qian's points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055"/>
          <c:w val="0.9055"/>
          <c:h val="0.76025"/>
        </c:manualLayout>
      </c:layout>
      <c:scatterChart>
        <c:scatterStyle val="lineMarker"/>
        <c:varyColors val="0"/>
        <c:ser>
          <c:idx val="3"/>
          <c:order val="0"/>
          <c:tx>
            <c:strRef>
              <c:f>'A (2)'!$S$20</c:f>
              <c:strCache>
                <c:ptCount val="1"/>
                <c:pt idx="0">
                  <c:v>Qian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</c:numCache>
              </c:numRef>
            </c:plus>
            <c:minus>
              <c:numRef>
                <c:f>'A (2)'!$D$21:$D$43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0.0012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(2)'!$F$21:$F$992</c:f>
              <c:numCache/>
            </c:numRef>
          </c:xVal>
          <c:yVal>
            <c:numRef>
              <c:f>'A (2)'!$S$21:$S$992</c:f>
              <c:numCache/>
            </c:numRef>
          </c:yVal>
          <c:smooth val="0"/>
        </c:ser>
        <c:ser>
          <c:idx val="7"/>
          <c:order val="1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(2)'!$F$21:$F$992</c:f>
              <c:numCache/>
            </c:numRef>
          </c:xVal>
          <c:yVal>
            <c:numRef>
              <c:f>'A (2)'!$O$21:$O$992</c:f>
              <c:numCache/>
            </c:numRef>
          </c:yVal>
          <c:smooth val="0"/>
        </c:ser>
        <c:axId val="66432503"/>
        <c:axId val="58316172"/>
      </c:scatterChart>
      <c:valAx>
        <c:axId val="66432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6172"/>
        <c:crosses val="autoZero"/>
        <c:crossBetween val="midCat"/>
        <c:dispUnits/>
      </c:valAx>
      <c:valAx>
        <c:axId val="58316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3250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9"/>
          <c:y val="0.93025"/>
          <c:w val="0.206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171450</xdr:rowOff>
    </xdr:from>
    <xdr:to>
      <xdr:col>16</xdr:col>
      <xdr:colOff>304800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4933950" y="171450"/>
        <a:ext cx="57626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66675</xdr:rowOff>
    </xdr:from>
    <xdr:to>
      <xdr:col>15</xdr:col>
      <xdr:colOff>485775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4600575" y="66675"/>
        <a:ext cx="5762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85725</xdr:colOff>
      <xdr:row>22</xdr:row>
      <xdr:rowOff>114300</xdr:rowOff>
    </xdr:from>
    <xdr:to>
      <xdr:col>19</xdr:col>
      <xdr:colOff>495300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7143750" y="3838575"/>
        <a:ext cx="57721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314325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0391775" y="0"/>
        <a:ext cx="57721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hyperlink" Target="https://www.aavso.org/ejaavso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vsolj.cetus-net.org/bulletin.html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s://www.aavso.org/ejaavso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vsolj.cetus-net.org/bulletin.html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hyperlink" Target="http://cdsbib.u-strasbg.fr/cgi-bin/cdsbib?1990RMxAA..21..381G" TargetMode="Externa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2189" TargetMode="External" /><Relationship Id="rId2" Type="http://schemas.openxmlformats.org/officeDocument/2006/relationships/hyperlink" Target="http://www.konkoly.hu/cgi-bin/IBVS?2189" TargetMode="External" /><Relationship Id="rId3" Type="http://schemas.openxmlformats.org/officeDocument/2006/relationships/hyperlink" Target="http://www.konkoly.hu/cgi-bin/IBVS?4597" TargetMode="External" /><Relationship Id="rId4" Type="http://schemas.openxmlformats.org/officeDocument/2006/relationships/hyperlink" Target="http://www.konkoly.hu/cgi-bin/IBVS?5067" TargetMode="External" /><Relationship Id="rId5" Type="http://schemas.openxmlformats.org/officeDocument/2006/relationships/hyperlink" Target="http://www.konkoly.hu/cgi-bin/IBVS?5251" TargetMode="External" /><Relationship Id="rId6" Type="http://schemas.openxmlformats.org/officeDocument/2006/relationships/hyperlink" Target="http://www.bav-astro.de/sfs/BAVM_link.php?BAVMnr=172" TargetMode="External" /><Relationship Id="rId7" Type="http://schemas.openxmlformats.org/officeDocument/2006/relationships/hyperlink" Target="http://www.bav-astro.de/sfs/BAVM_link.php?BAVMnr=209" TargetMode="External" /><Relationship Id="rId8" Type="http://schemas.openxmlformats.org/officeDocument/2006/relationships/hyperlink" Target="http://www.konkoly.hu/cgi-bin/IBVS?5894" TargetMode="External" /><Relationship Id="rId9" Type="http://schemas.openxmlformats.org/officeDocument/2006/relationships/hyperlink" Target="http://www.bav-astro.de/sfs/BAVM_link.php?BAVMnr=214" TargetMode="External" /><Relationship Id="rId10" Type="http://schemas.openxmlformats.org/officeDocument/2006/relationships/hyperlink" Target="http://www.bav-astro.de/sfs/BAVM_link.php?BAVMnr=214" TargetMode="External" /><Relationship Id="rId11" Type="http://schemas.openxmlformats.org/officeDocument/2006/relationships/hyperlink" Target="http://www.bav-astro.de/sfs/BAVM_link.php?BAVMnr=220" TargetMode="External" /><Relationship Id="rId12" Type="http://schemas.openxmlformats.org/officeDocument/2006/relationships/hyperlink" Target="http://www.konkoly.hu/cgi-bin/IBVS?5992" TargetMode="External" /><Relationship Id="rId13" Type="http://schemas.openxmlformats.org/officeDocument/2006/relationships/hyperlink" Target="http://www.bav-astro.de/sfs/BAVM_link.php?BAVMnr=225" TargetMode="External" /><Relationship Id="rId14" Type="http://schemas.openxmlformats.org/officeDocument/2006/relationships/hyperlink" Target="http://www.konkoly.hu/cgi-bin/IBVS?6029" TargetMode="External" /><Relationship Id="rId1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1297"/>
  <sheetViews>
    <sheetView tabSelected="1" zoomScalePageLayoutView="0" workbookViewId="0" topLeftCell="A1">
      <pane xSplit="13" ySplit="21" topLeftCell="N43" activePane="bottomRight" state="frozen"/>
      <selection pane="topLeft" activeCell="A1" sqref="A1"/>
      <selection pane="topRight" activeCell="N1" sqref="N1"/>
      <selection pane="bottomLeft" activeCell="A22" sqref="A22"/>
      <selection pane="bottomRight" activeCell="E2" sqref="E2"/>
    </sheetView>
  </sheetViews>
  <sheetFormatPr defaultColWidth="10.28125" defaultRowHeight="12.75"/>
  <cols>
    <col min="1" max="1" width="19.57421875" style="0" customWidth="1"/>
    <col min="2" max="2" width="5.140625" style="4" customWidth="1"/>
    <col min="3" max="3" width="11.8515625" style="0" customWidth="1"/>
    <col min="4" max="4" width="9.421875" style="0" customWidth="1"/>
    <col min="5" max="5" width="16.8515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  <col min="19" max="20" width="10.28125" style="0" customWidth="1"/>
    <col min="21" max="21" width="10.28125" style="52" customWidth="1"/>
  </cols>
  <sheetData>
    <row r="1" ht="20.25">
      <c r="A1" s="1" t="s">
        <v>39</v>
      </c>
    </row>
    <row r="2" spans="1:5" ht="12.75">
      <c r="A2" t="s">
        <v>26</v>
      </c>
      <c r="B2" s="10" t="s">
        <v>36</v>
      </c>
      <c r="E2" s="63" t="s">
        <v>182</v>
      </c>
    </row>
    <row r="3" ht="13.5" thickBot="1">
      <c r="C3" s="9"/>
    </row>
    <row r="4" spans="1:4" ht="14.25" thickBot="1" thickTop="1">
      <c r="A4" s="6" t="s">
        <v>2</v>
      </c>
      <c r="C4" s="2">
        <v>28273.243</v>
      </c>
      <c r="D4" s="3">
        <v>5.117159</v>
      </c>
    </row>
    <row r="5" ht="13.5" thickTop="1"/>
    <row r="6" ht="12.75">
      <c r="A6" s="6" t="s">
        <v>3</v>
      </c>
    </row>
    <row r="7" spans="1:3" ht="12.75">
      <c r="A7" t="s">
        <v>4</v>
      </c>
      <c r="C7">
        <f>+C4</f>
        <v>28273.243</v>
      </c>
    </row>
    <row r="8" spans="1:3" ht="12.75">
      <c r="A8" t="s">
        <v>5</v>
      </c>
      <c r="C8">
        <f>+D4</f>
        <v>5.117159</v>
      </c>
    </row>
    <row r="9" spans="1:5" ht="12.75">
      <c r="A9" s="12" t="s">
        <v>40</v>
      </c>
      <c r="B9" s="13"/>
      <c r="C9" s="14">
        <v>-9.5</v>
      </c>
      <c r="D9" s="13" t="s">
        <v>41</v>
      </c>
      <c r="E9" s="13"/>
    </row>
    <row r="10" spans="1:5" ht="13.5" thickBot="1">
      <c r="A10" s="13"/>
      <c r="B10" s="13"/>
      <c r="C10" s="5" t="s">
        <v>22</v>
      </c>
      <c r="D10" s="5" t="s">
        <v>23</v>
      </c>
      <c r="E10" s="13"/>
    </row>
    <row r="11" spans="1:7" ht="12.75">
      <c r="A11" s="13" t="s">
        <v>18</v>
      </c>
      <c r="B11" s="13"/>
      <c r="C11" s="15">
        <f ca="1">INTERCEPT(INDIRECT($G$11):G991,INDIRECT($F$11):F991)</f>
        <v>0.061089416433382386</v>
      </c>
      <c r="D11" s="4"/>
      <c r="E11" s="13"/>
      <c r="F11" s="16" t="str">
        <f>"F"&amp;E19</f>
        <v>F36</v>
      </c>
      <c r="G11" s="17" t="str">
        <f>"G"&amp;E19</f>
        <v>G36</v>
      </c>
    </row>
    <row r="12" spans="1:5" ht="12.75">
      <c r="A12" s="13" t="s">
        <v>19</v>
      </c>
      <c r="B12" s="13"/>
      <c r="C12" s="15">
        <f ca="1">SLOPE(INDIRECT($G$11):G991,INDIRECT($F$11):F991)</f>
        <v>-1.5422292877981726E-05</v>
      </c>
      <c r="D12" s="4"/>
      <c r="E12" s="13"/>
    </row>
    <row r="13" spans="1:5" ht="12.75">
      <c r="A13" s="13" t="s">
        <v>21</v>
      </c>
      <c r="B13" s="13"/>
      <c r="C13" s="4" t="s">
        <v>16</v>
      </c>
      <c r="D13" s="20" t="s">
        <v>49</v>
      </c>
      <c r="E13" s="14">
        <v>1</v>
      </c>
    </row>
    <row r="14" spans="1:5" ht="12.75">
      <c r="A14" s="13"/>
      <c r="B14" s="13"/>
      <c r="C14" s="13"/>
      <c r="D14" s="20" t="s">
        <v>42</v>
      </c>
      <c r="E14" s="21">
        <f ca="1">NOW()+15018.5+$C$9/24</f>
        <v>59896.69045300926</v>
      </c>
    </row>
    <row r="15" spans="1:5" ht="12.75">
      <c r="A15" s="18" t="s">
        <v>20</v>
      </c>
      <c r="B15" s="13"/>
      <c r="C15" s="19">
        <f>(C7+C11)+(C8+C12)*INT(MAX(F21:F3532))</f>
        <v>57855.51111214131</v>
      </c>
      <c r="D15" s="20" t="s">
        <v>50</v>
      </c>
      <c r="E15" s="21">
        <f>ROUND(2*(E14-$C$7)/$C$8,0)/2+E13</f>
        <v>6181</v>
      </c>
    </row>
    <row r="16" spans="1:5" ht="12.75">
      <c r="A16" s="22" t="s">
        <v>6</v>
      </c>
      <c r="B16" s="13"/>
      <c r="C16" s="23">
        <f>+C8+C12</f>
        <v>5.117143577707122</v>
      </c>
      <c r="D16" s="20" t="s">
        <v>43</v>
      </c>
      <c r="E16" s="17">
        <f>ROUND(2*(E14-$C$15)/$C$16,0)/2+E13</f>
        <v>400</v>
      </c>
    </row>
    <row r="17" spans="1:5" ht="13.5" thickBot="1">
      <c r="A17" s="20" t="s">
        <v>38</v>
      </c>
      <c r="B17" s="13"/>
      <c r="C17" s="13">
        <f>COUNT(C21:C2190)</f>
        <v>41</v>
      </c>
      <c r="D17" s="20" t="s">
        <v>44</v>
      </c>
      <c r="E17" s="24">
        <f>+$C$15+$C$16*E16-15018.5-$C$9/24</f>
        <v>44884.26437655749</v>
      </c>
    </row>
    <row r="18" spans="1:5" ht="14.25" thickBot="1" thickTop="1">
      <c r="A18" s="22" t="s">
        <v>7</v>
      </c>
      <c r="B18" s="13"/>
      <c r="C18" s="25">
        <f>+C15</f>
        <v>57855.51111214131</v>
      </c>
      <c r="D18" s="26">
        <f>+C16</f>
        <v>5.117143577707122</v>
      </c>
      <c r="E18" s="27" t="s">
        <v>45</v>
      </c>
    </row>
    <row r="19" spans="1:5" ht="13.5" thickTop="1">
      <c r="A19" s="28" t="s">
        <v>46</v>
      </c>
      <c r="B19"/>
      <c r="E19" s="29">
        <v>36</v>
      </c>
    </row>
    <row r="20" spans="1:21" ht="13.5" thickBot="1">
      <c r="A20" s="5" t="s">
        <v>8</v>
      </c>
      <c r="B20" s="5" t="s">
        <v>9</v>
      </c>
      <c r="C20" s="5" t="s">
        <v>10</v>
      </c>
      <c r="D20" s="5" t="s">
        <v>15</v>
      </c>
      <c r="E20" s="5" t="s">
        <v>11</v>
      </c>
      <c r="F20" s="5" t="s">
        <v>12</v>
      </c>
      <c r="G20" s="5" t="s">
        <v>13</v>
      </c>
      <c r="H20" s="8" t="s">
        <v>172</v>
      </c>
      <c r="I20" s="8" t="s">
        <v>173</v>
      </c>
      <c r="J20" s="8" t="s">
        <v>51</v>
      </c>
      <c r="K20" s="8" t="s">
        <v>174</v>
      </c>
      <c r="L20" s="8" t="s">
        <v>178</v>
      </c>
      <c r="M20" s="8" t="s">
        <v>179</v>
      </c>
      <c r="N20" s="8" t="s">
        <v>29</v>
      </c>
      <c r="O20" s="8" t="s">
        <v>25</v>
      </c>
      <c r="P20" s="7" t="s">
        <v>24</v>
      </c>
      <c r="Q20" s="5" t="s">
        <v>17</v>
      </c>
      <c r="U20" s="53" t="s">
        <v>175</v>
      </c>
    </row>
    <row r="21" spans="1:21" ht="12.75">
      <c r="A21" s="33" t="s">
        <v>63</v>
      </c>
      <c r="B21" s="34" t="s">
        <v>32</v>
      </c>
      <c r="C21" s="35">
        <v>27623.393</v>
      </c>
      <c r="D21" s="35" t="s">
        <v>169</v>
      </c>
      <c r="E21" s="42">
        <f aca="true" t="shared" si="0" ref="E21:E57">+(C21-C$7)/C$8</f>
        <v>-126.99429507662329</v>
      </c>
      <c r="F21" s="33">
        <f aca="true" t="shared" si="1" ref="F21:F61">ROUND(2*E21,0)/2</f>
        <v>-127</v>
      </c>
      <c r="H21" s="33"/>
      <c r="I21" s="33"/>
      <c r="L21" s="33"/>
      <c r="M21" s="33"/>
      <c r="N21" s="33"/>
      <c r="O21" s="33">
        <f aca="true" t="shared" si="2" ref="O21:O57">+C$11+C$12*F21</f>
        <v>0.06304804762888606</v>
      </c>
      <c r="P21" s="33"/>
      <c r="Q21" s="37">
        <f aca="true" t="shared" si="3" ref="Q21:Q57">+C21-15018.5</f>
        <v>12604.893</v>
      </c>
      <c r="U21" s="33">
        <f aca="true" t="shared" si="4" ref="U21:U29">+C21-(C$7+F21*C$8)</f>
        <v>0.02919300000212388</v>
      </c>
    </row>
    <row r="22" spans="1:21" ht="12.75">
      <c r="A22" s="33" t="s">
        <v>63</v>
      </c>
      <c r="B22" s="34" t="s">
        <v>32</v>
      </c>
      <c r="C22" s="35">
        <v>27628.504</v>
      </c>
      <c r="D22" s="35" t="s">
        <v>169</v>
      </c>
      <c r="E22" s="42">
        <f t="shared" si="0"/>
        <v>-125.99549867416623</v>
      </c>
      <c r="F22" s="33">
        <f t="shared" si="1"/>
        <v>-126</v>
      </c>
      <c r="H22" s="33"/>
      <c r="I22" s="33"/>
      <c r="L22" s="33"/>
      <c r="M22" s="33"/>
      <c r="N22" s="33"/>
      <c r="O22" s="33">
        <f t="shared" si="2"/>
        <v>0.06303262533600808</v>
      </c>
      <c r="P22" s="33"/>
      <c r="Q22" s="37">
        <f t="shared" si="3"/>
        <v>12610.004</v>
      </c>
      <c r="U22" s="33">
        <f t="shared" si="4"/>
        <v>0.023034000001644017</v>
      </c>
    </row>
    <row r="23" spans="1:21" ht="12.75">
      <c r="A23" t="s">
        <v>68</v>
      </c>
      <c r="B23" s="4" t="s">
        <v>32</v>
      </c>
      <c r="C23" s="11">
        <v>27659.221</v>
      </c>
      <c r="D23" s="11" t="s">
        <v>169</v>
      </c>
      <c r="E23" s="42">
        <f t="shared" si="0"/>
        <v>-119.99275379170301</v>
      </c>
      <c r="F23" s="33">
        <f t="shared" si="1"/>
        <v>-120</v>
      </c>
      <c r="H23" s="33"/>
      <c r="I23" s="33"/>
      <c r="L23" s="33"/>
      <c r="M23" s="33"/>
      <c r="N23" s="33"/>
      <c r="O23" s="33">
        <f t="shared" si="2"/>
        <v>0.0629400915787402</v>
      </c>
      <c r="P23" s="33"/>
      <c r="Q23" s="37">
        <f t="shared" si="3"/>
        <v>12640.721000000001</v>
      </c>
      <c r="U23" s="33">
        <f t="shared" si="4"/>
        <v>0.03708000000187894</v>
      </c>
    </row>
    <row r="24" spans="1:21" ht="12.75">
      <c r="A24" t="s">
        <v>68</v>
      </c>
      <c r="B24" s="4" t="s">
        <v>32</v>
      </c>
      <c r="C24" s="11">
        <v>27710.369</v>
      </c>
      <c r="D24" s="11" t="s">
        <v>169</v>
      </c>
      <c r="E24" s="42">
        <f t="shared" si="0"/>
        <v>-109.99736377157711</v>
      </c>
      <c r="F24" s="33">
        <f t="shared" si="1"/>
        <v>-110</v>
      </c>
      <c r="H24" s="33"/>
      <c r="I24" s="33"/>
      <c r="L24" s="33"/>
      <c r="M24" s="33"/>
      <c r="N24" s="33"/>
      <c r="O24" s="33">
        <f t="shared" si="2"/>
        <v>0.06278586864996037</v>
      </c>
      <c r="P24" s="33"/>
      <c r="Q24" s="37">
        <f t="shared" si="3"/>
        <v>12691.868999999999</v>
      </c>
      <c r="U24" s="33">
        <f t="shared" si="4"/>
        <v>0.013490000001183944</v>
      </c>
    </row>
    <row r="25" spans="1:21" ht="12.75">
      <c r="A25" t="s">
        <v>68</v>
      </c>
      <c r="B25" s="4" t="s">
        <v>32</v>
      </c>
      <c r="C25" s="11">
        <v>27966.219</v>
      </c>
      <c r="D25" s="11" t="s">
        <v>169</v>
      </c>
      <c r="E25" s="42">
        <f t="shared" si="0"/>
        <v>-59.998917368015654</v>
      </c>
      <c r="F25" s="33">
        <f t="shared" si="1"/>
        <v>-60</v>
      </c>
      <c r="H25" s="33"/>
      <c r="I25" s="33"/>
      <c r="L25" s="33"/>
      <c r="M25" s="33"/>
      <c r="N25" s="33"/>
      <c r="O25" s="33">
        <f t="shared" si="2"/>
        <v>0.06201475400606129</v>
      </c>
      <c r="P25" s="33"/>
      <c r="Q25" s="37">
        <f t="shared" si="3"/>
        <v>12947.719000000001</v>
      </c>
      <c r="U25" s="33">
        <f t="shared" si="4"/>
        <v>0.005540000001929002</v>
      </c>
    </row>
    <row r="26" spans="1:21" ht="12.75">
      <c r="A26" t="s">
        <v>68</v>
      </c>
      <c r="B26" s="4" t="s">
        <v>32</v>
      </c>
      <c r="C26" s="11">
        <v>27976.48</v>
      </c>
      <c r="D26" s="11" t="s">
        <v>169</v>
      </c>
      <c r="E26" s="42">
        <f t="shared" si="0"/>
        <v>-57.993703146609086</v>
      </c>
      <c r="F26" s="33">
        <f t="shared" si="1"/>
        <v>-58</v>
      </c>
      <c r="H26" s="33"/>
      <c r="I26" s="33"/>
      <c r="L26" s="33"/>
      <c r="M26" s="33"/>
      <c r="N26" s="33"/>
      <c r="O26" s="33">
        <f t="shared" si="2"/>
        <v>0.06198390942030533</v>
      </c>
      <c r="P26" s="33"/>
      <c r="Q26" s="37">
        <f t="shared" si="3"/>
        <v>12957.98</v>
      </c>
      <c r="U26" s="33">
        <f t="shared" si="4"/>
        <v>0.03222200000163866</v>
      </c>
    </row>
    <row r="27" spans="1:21" ht="12.75">
      <c r="A27" t="s">
        <v>68</v>
      </c>
      <c r="B27" s="4" t="s">
        <v>32</v>
      </c>
      <c r="C27" s="11">
        <v>28022.494</v>
      </c>
      <c r="D27" s="11" t="s">
        <v>169</v>
      </c>
      <c r="E27" s="42">
        <f t="shared" si="0"/>
        <v>-49.001604210461274</v>
      </c>
      <c r="F27" s="33">
        <f t="shared" si="1"/>
        <v>-49</v>
      </c>
      <c r="H27" s="33"/>
      <c r="I27" s="33"/>
      <c r="L27" s="33"/>
      <c r="M27" s="33"/>
      <c r="N27" s="33"/>
      <c r="O27" s="33">
        <f t="shared" si="2"/>
        <v>0.06184510878440349</v>
      </c>
      <c r="P27" s="33"/>
      <c r="Q27" s="37">
        <f t="shared" si="3"/>
        <v>13003.993999999999</v>
      </c>
      <c r="U27" s="33">
        <f t="shared" si="4"/>
        <v>-0.008208999999624211</v>
      </c>
    </row>
    <row r="28" spans="1:21" ht="12.75">
      <c r="A28" t="s">
        <v>68</v>
      </c>
      <c r="B28" s="4" t="s">
        <v>32</v>
      </c>
      <c r="C28" s="11">
        <v>28068.492</v>
      </c>
      <c r="D28" s="11" t="s">
        <v>169</v>
      </c>
      <c r="E28" s="42">
        <f t="shared" si="0"/>
        <v>-40.01263200928488</v>
      </c>
      <c r="F28" s="33">
        <f t="shared" si="1"/>
        <v>-40</v>
      </c>
      <c r="H28" s="33"/>
      <c r="I28" s="33"/>
      <c r="L28" s="33"/>
      <c r="M28" s="33"/>
      <c r="N28" s="33"/>
      <c r="O28" s="33">
        <f t="shared" si="2"/>
        <v>0.06170630814850166</v>
      </c>
      <c r="P28" s="33"/>
      <c r="Q28" s="37">
        <f t="shared" si="3"/>
        <v>13049.991999999998</v>
      </c>
      <c r="U28" s="33">
        <f t="shared" si="4"/>
        <v>-0.06464000000050873</v>
      </c>
    </row>
    <row r="29" spans="1:21" ht="12.75">
      <c r="A29" t="s">
        <v>68</v>
      </c>
      <c r="B29" s="4" t="s">
        <v>32</v>
      </c>
      <c r="C29" s="11">
        <v>28109.416</v>
      </c>
      <c r="D29" s="11" t="s">
        <v>169</v>
      </c>
      <c r="E29" s="42">
        <f t="shared" si="0"/>
        <v>-32.0152256359432</v>
      </c>
      <c r="F29" s="33">
        <f t="shared" si="1"/>
        <v>-32</v>
      </c>
      <c r="H29" s="33"/>
      <c r="I29" s="33"/>
      <c r="L29" s="33"/>
      <c r="M29" s="33"/>
      <c r="N29" s="33"/>
      <c r="O29" s="33">
        <f t="shared" si="2"/>
        <v>0.061582929805477804</v>
      </c>
      <c r="P29" s="33"/>
      <c r="Q29" s="37">
        <f t="shared" si="3"/>
        <v>13090.916000000001</v>
      </c>
      <c r="U29" s="33">
        <f t="shared" si="4"/>
        <v>-0.07791199999701348</v>
      </c>
    </row>
    <row r="30" spans="1:17" ht="12.75">
      <c r="A30" s="33" t="s">
        <v>14</v>
      </c>
      <c r="B30" s="34"/>
      <c r="C30" s="35">
        <v>28273.243</v>
      </c>
      <c r="D30" s="35" t="s">
        <v>16</v>
      </c>
      <c r="E30" s="33">
        <f t="shared" si="0"/>
        <v>0</v>
      </c>
      <c r="F30" s="33">
        <f t="shared" si="1"/>
        <v>0</v>
      </c>
      <c r="G30" s="33"/>
      <c r="H30" s="36">
        <v>0</v>
      </c>
      <c r="I30" s="33"/>
      <c r="J30" s="33"/>
      <c r="K30" s="33"/>
      <c r="L30" s="33"/>
      <c r="M30" s="33"/>
      <c r="N30" s="33"/>
      <c r="O30" s="33">
        <f t="shared" si="2"/>
        <v>0.061089416433382386</v>
      </c>
      <c r="P30" s="33"/>
      <c r="Q30" s="37">
        <f t="shared" si="3"/>
        <v>13254.742999999999</v>
      </c>
    </row>
    <row r="31" spans="1:17" ht="12.75">
      <c r="A31" t="s">
        <v>84</v>
      </c>
      <c r="B31" s="4" t="s">
        <v>32</v>
      </c>
      <c r="C31" s="11">
        <v>28273.281</v>
      </c>
      <c r="D31" s="11" t="s">
        <v>169</v>
      </c>
      <c r="E31" s="42">
        <f t="shared" si="0"/>
        <v>0.007425995557391448</v>
      </c>
      <c r="F31" s="33">
        <f t="shared" si="1"/>
        <v>0</v>
      </c>
      <c r="G31" s="33">
        <f aca="true" t="shared" si="5" ref="G31:G44">+C31-(C$7+F31*C$8)</f>
        <v>0.03800000000046566</v>
      </c>
      <c r="H31" s="33"/>
      <c r="I31" s="33">
        <f>+G31</f>
        <v>0.03800000000046566</v>
      </c>
      <c r="L31" s="33"/>
      <c r="M31" s="33"/>
      <c r="N31" s="33"/>
      <c r="O31" s="33">
        <f t="shared" si="2"/>
        <v>0.061089416433382386</v>
      </c>
      <c r="P31" s="33"/>
      <c r="Q31" s="37">
        <f t="shared" si="3"/>
        <v>13254.780999999999</v>
      </c>
    </row>
    <row r="32" spans="1:21" ht="12.75">
      <c r="A32" t="s">
        <v>89</v>
      </c>
      <c r="B32" s="4" t="s">
        <v>34</v>
      </c>
      <c r="C32" s="11">
        <v>35992.475</v>
      </c>
      <c r="D32" s="11" t="s">
        <v>172</v>
      </c>
      <c r="E32" s="42">
        <f t="shared" si="0"/>
        <v>1508.4995404676697</v>
      </c>
      <c r="F32" s="33">
        <f t="shared" si="1"/>
        <v>1508.5</v>
      </c>
      <c r="H32" s="33"/>
      <c r="I32" s="33"/>
      <c r="L32" s="33"/>
      <c r="M32" s="33"/>
      <c r="N32" s="33"/>
      <c r="O32" s="33">
        <f t="shared" si="2"/>
        <v>0.037824887626946954</v>
      </c>
      <c r="P32" s="33"/>
      <c r="Q32" s="37">
        <f t="shared" si="3"/>
        <v>20973.975</v>
      </c>
      <c r="U32" s="33">
        <f>+C32-(C$7+F32*C$8)</f>
        <v>-0.002351499999349471</v>
      </c>
    </row>
    <row r="33" spans="1:17" ht="12.75">
      <c r="A33" t="s">
        <v>89</v>
      </c>
      <c r="B33" s="4" t="s">
        <v>32</v>
      </c>
      <c r="C33" s="11">
        <v>36404.445</v>
      </c>
      <c r="D33" s="11" t="s">
        <v>172</v>
      </c>
      <c r="E33" s="42">
        <f t="shared" si="0"/>
        <v>1589.0071033555926</v>
      </c>
      <c r="F33" s="33">
        <f t="shared" si="1"/>
        <v>1589</v>
      </c>
      <c r="G33" s="33">
        <f t="shared" si="5"/>
        <v>0.036349000001791865</v>
      </c>
      <c r="H33" s="33">
        <f>+G33</f>
        <v>0.036349000001791865</v>
      </c>
      <c r="I33" s="33"/>
      <c r="L33" s="33"/>
      <c r="M33" s="33"/>
      <c r="N33" s="33"/>
      <c r="O33" s="33">
        <f t="shared" si="2"/>
        <v>0.03658339305026942</v>
      </c>
      <c r="P33" s="33"/>
      <c r="Q33" s="37">
        <f t="shared" si="3"/>
        <v>21385.945</v>
      </c>
    </row>
    <row r="34" spans="1:21" ht="12.75">
      <c r="A34" t="s">
        <v>89</v>
      </c>
      <c r="B34" s="4" t="s">
        <v>32</v>
      </c>
      <c r="C34" s="11">
        <v>36675.56</v>
      </c>
      <c r="D34" s="11" t="s">
        <v>172</v>
      </c>
      <c r="E34" s="42">
        <f t="shared" si="0"/>
        <v>1641.9886503428952</v>
      </c>
      <c r="F34" s="33">
        <f t="shared" si="1"/>
        <v>1642</v>
      </c>
      <c r="H34" s="33"/>
      <c r="I34" s="33"/>
      <c r="L34" s="33"/>
      <c r="M34" s="33"/>
      <c r="N34" s="33"/>
      <c r="O34" s="33">
        <f t="shared" si="2"/>
        <v>0.03576601152773639</v>
      </c>
      <c r="P34" s="33"/>
      <c r="Q34" s="37">
        <f t="shared" si="3"/>
        <v>21657.059999999998</v>
      </c>
      <c r="U34" s="33">
        <f>+C34-(C$7+F34*C$8)</f>
        <v>-0.058078000001842156</v>
      </c>
    </row>
    <row r="35" spans="1:21" ht="12.75">
      <c r="A35" t="s">
        <v>89</v>
      </c>
      <c r="B35" s="4" t="s">
        <v>32</v>
      </c>
      <c r="C35" s="11">
        <v>36757.435</v>
      </c>
      <c r="D35" s="11" t="s">
        <v>172</v>
      </c>
      <c r="E35" s="42">
        <f t="shared" si="0"/>
        <v>1657.9887394548418</v>
      </c>
      <c r="F35" s="33">
        <f t="shared" si="1"/>
        <v>1658</v>
      </c>
      <c r="H35" s="33"/>
      <c r="I35" s="33"/>
      <c r="L35" s="33"/>
      <c r="M35" s="33"/>
      <c r="N35" s="33"/>
      <c r="O35" s="33">
        <f t="shared" si="2"/>
        <v>0.035519254841688684</v>
      </c>
      <c r="P35" s="33"/>
      <c r="Q35" s="37">
        <f t="shared" si="3"/>
        <v>21738.934999999998</v>
      </c>
      <c r="U35" s="33">
        <f>+C35-(C$7+F35*C$8)</f>
        <v>-0.05762200000026496</v>
      </c>
    </row>
    <row r="36" spans="1:24" ht="12.75">
      <c r="A36" s="40" t="s">
        <v>56</v>
      </c>
      <c r="B36" s="32" t="s">
        <v>32</v>
      </c>
      <c r="C36" s="35">
        <v>41838.85</v>
      </c>
      <c r="D36" s="35" t="s">
        <v>51</v>
      </c>
      <c r="E36" s="33">
        <f t="shared" si="0"/>
        <v>2651.0036135285222</v>
      </c>
      <c r="F36" s="33">
        <f t="shared" si="1"/>
        <v>2651</v>
      </c>
      <c r="G36" s="33">
        <f t="shared" si="5"/>
        <v>0.018491000002541114</v>
      </c>
      <c r="H36" s="33"/>
      <c r="I36" s="33"/>
      <c r="J36" s="33">
        <f>+G36</f>
        <v>0.018491000002541114</v>
      </c>
      <c r="L36" s="33"/>
      <c r="M36" s="33"/>
      <c r="N36" s="33"/>
      <c r="O36" s="33">
        <f t="shared" si="2"/>
        <v>0.02020491801385283</v>
      </c>
      <c r="P36" s="33"/>
      <c r="Q36" s="37">
        <f t="shared" si="3"/>
        <v>26820.35</v>
      </c>
      <c r="X36" t="s">
        <v>56</v>
      </c>
    </row>
    <row r="37" spans="1:24" ht="12.75">
      <c r="A37" s="40" t="s">
        <v>57</v>
      </c>
      <c r="B37" s="32" t="s">
        <v>32</v>
      </c>
      <c r="C37" s="35">
        <v>43640.0872</v>
      </c>
      <c r="D37" s="35" t="s">
        <v>51</v>
      </c>
      <c r="E37" s="33">
        <f t="shared" si="0"/>
        <v>3003.003072603373</v>
      </c>
      <c r="F37" s="33">
        <f t="shared" si="1"/>
        <v>3003</v>
      </c>
      <c r="G37" s="33">
        <f t="shared" si="5"/>
        <v>0.015723000004072674</v>
      </c>
      <c r="H37" s="33"/>
      <c r="I37" s="33"/>
      <c r="J37" s="33">
        <f>+G37</f>
        <v>0.015723000004072674</v>
      </c>
      <c r="L37" s="33"/>
      <c r="M37" s="33"/>
      <c r="N37" s="33"/>
      <c r="O37" s="33">
        <f t="shared" si="2"/>
        <v>0.014776270920803261</v>
      </c>
      <c r="P37" s="33"/>
      <c r="Q37" s="37">
        <f t="shared" si="3"/>
        <v>28621.5872</v>
      </c>
      <c r="X37" s="40" t="s">
        <v>57</v>
      </c>
    </row>
    <row r="38" spans="1:17" ht="12.75">
      <c r="A38" s="40" t="s">
        <v>37</v>
      </c>
      <c r="B38" s="41"/>
      <c r="C38" s="40">
        <v>44438.3595</v>
      </c>
      <c r="D38" s="31"/>
      <c r="E38" s="42">
        <f t="shared" si="0"/>
        <v>3159.002192427478</v>
      </c>
      <c r="F38" s="33">
        <f t="shared" si="1"/>
        <v>3159</v>
      </c>
      <c r="G38" s="33">
        <f t="shared" si="5"/>
        <v>0.01121899999998277</v>
      </c>
      <c r="H38" s="33"/>
      <c r="I38" s="33"/>
      <c r="K38" s="33">
        <f>+G38</f>
        <v>0.01121899999998277</v>
      </c>
      <c r="L38" s="33"/>
      <c r="M38" s="33"/>
      <c r="N38" s="33"/>
      <c r="O38" s="33">
        <f t="shared" si="2"/>
        <v>0.012370393231838112</v>
      </c>
      <c r="P38" s="33"/>
      <c r="Q38" s="37">
        <f t="shared" si="3"/>
        <v>29419.8595</v>
      </c>
    </row>
    <row r="39" spans="1:24" ht="12.75">
      <c r="A39" s="40" t="s">
        <v>58</v>
      </c>
      <c r="B39" s="41" t="s">
        <v>32</v>
      </c>
      <c r="C39" s="31">
        <v>44438.3616</v>
      </c>
      <c r="D39" s="31" t="s">
        <v>51</v>
      </c>
      <c r="E39" s="42">
        <f t="shared" si="0"/>
        <v>3159.0026028114426</v>
      </c>
      <c r="F39" s="33">
        <f t="shared" si="1"/>
        <v>3159</v>
      </c>
      <c r="G39" s="33">
        <f t="shared" si="5"/>
        <v>0.013318999997864012</v>
      </c>
      <c r="H39" s="33"/>
      <c r="I39" s="33"/>
      <c r="J39" s="33">
        <f>+G39</f>
        <v>0.013318999997864012</v>
      </c>
      <c r="L39" s="33"/>
      <c r="M39" s="33"/>
      <c r="N39" s="33"/>
      <c r="O39" s="33">
        <f t="shared" si="2"/>
        <v>0.012370393231838112</v>
      </c>
      <c r="P39" s="33"/>
      <c r="Q39" s="37">
        <f t="shared" si="3"/>
        <v>29419.861599999997</v>
      </c>
      <c r="X39" s="40" t="s">
        <v>58</v>
      </c>
    </row>
    <row r="40" spans="1:17" ht="12.75">
      <c r="A40" s="40" t="s">
        <v>37</v>
      </c>
      <c r="B40" s="41"/>
      <c r="C40" s="40">
        <v>44438.3637</v>
      </c>
      <c r="D40" s="31"/>
      <c r="E40" s="42">
        <f t="shared" si="0"/>
        <v>3159.0030131954086</v>
      </c>
      <c r="F40" s="33">
        <f t="shared" si="1"/>
        <v>3159</v>
      </c>
      <c r="G40" s="33">
        <f t="shared" si="5"/>
        <v>0.01541900000302121</v>
      </c>
      <c r="H40" s="33"/>
      <c r="I40" s="33"/>
      <c r="K40" s="33">
        <f>+G40</f>
        <v>0.01541900000302121</v>
      </c>
      <c r="L40" s="33"/>
      <c r="M40" s="33"/>
      <c r="N40" s="33"/>
      <c r="O40" s="33">
        <f t="shared" si="2"/>
        <v>0.012370393231838112</v>
      </c>
      <c r="P40" s="33"/>
      <c r="Q40" s="37">
        <f t="shared" si="3"/>
        <v>29419.8637</v>
      </c>
    </row>
    <row r="41" spans="1:17" ht="12.75">
      <c r="A41" s="40" t="s">
        <v>37</v>
      </c>
      <c r="B41" s="41"/>
      <c r="C41" s="40">
        <v>44791.4394</v>
      </c>
      <c r="D41" s="31"/>
      <c r="E41" s="42">
        <f t="shared" si="0"/>
        <v>3228.0013968688495</v>
      </c>
      <c r="F41" s="33">
        <f t="shared" si="1"/>
        <v>3228</v>
      </c>
      <c r="G41" s="33">
        <f t="shared" si="5"/>
        <v>0.007148000004235655</v>
      </c>
      <c r="H41" s="33"/>
      <c r="I41" s="33"/>
      <c r="K41" s="33">
        <f>+G41</f>
        <v>0.007148000004235655</v>
      </c>
      <c r="L41" s="33"/>
      <c r="M41" s="33"/>
      <c r="N41" s="33"/>
      <c r="O41" s="33">
        <f t="shared" si="2"/>
        <v>0.011306255023257376</v>
      </c>
      <c r="P41" s="33"/>
      <c r="Q41" s="37">
        <f t="shared" si="3"/>
        <v>29772.939400000003</v>
      </c>
    </row>
    <row r="42" spans="1:17" ht="12.75">
      <c r="A42" s="40" t="s">
        <v>37</v>
      </c>
      <c r="B42" s="41" t="s">
        <v>32</v>
      </c>
      <c r="C42" s="40">
        <v>44791.4474</v>
      </c>
      <c r="D42" s="40" t="s">
        <v>51</v>
      </c>
      <c r="E42" s="42">
        <f t="shared" si="0"/>
        <v>3228.002960236334</v>
      </c>
      <c r="F42" s="33">
        <f t="shared" si="1"/>
        <v>3228</v>
      </c>
      <c r="G42" s="33">
        <f t="shared" si="5"/>
        <v>0.015147999998589512</v>
      </c>
      <c r="H42" s="33"/>
      <c r="I42" s="33"/>
      <c r="K42" s="33">
        <f>+G42</f>
        <v>0.015147999998589512</v>
      </c>
      <c r="L42" s="33"/>
      <c r="M42" s="33"/>
      <c r="N42" s="33"/>
      <c r="O42" s="33">
        <f t="shared" si="2"/>
        <v>0.011306255023257376</v>
      </c>
      <c r="P42" s="33"/>
      <c r="Q42" s="37">
        <f t="shared" si="3"/>
        <v>29772.947399999997</v>
      </c>
    </row>
    <row r="43" spans="1:17" ht="12.75">
      <c r="A43" s="42" t="s">
        <v>30</v>
      </c>
      <c r="B43" s="30"/>
      <c r="C43" s="31">
        <v>48685.5835</v>
      </c>
      <c r="D43" s="31">
        <v>0.0012</v>
      </c>
      <c r="E43" s="42">
        <f t="shared" si="0"/>
        <v>3988.998680713263</v>
      </c>
      <c r="F43" s="33">
        <f t="shared" si="1"/>
        <v>3989</v>
      </c>
      <c r="G43" s="33">
        <f t="shared" si="5"/>
        <v>-0.006751000000804197</v>
      </c>
      <c r="H43" s="33"/>
      <c r="J43" s="33">
        <f>+G43</f>
        <v>-0.006751000000804197</v>
      </c>
      <c r="L43" s="33"/>
      <c r="M43" s="33"/>
      <c r="N43" s="33"/>
      <c r="O43" s="33">
        <f t="shared" si="2"/>
        <v>-0.00043010985688671927</v>
      </c>
      <c r="P43" s="33"/>
      <c r="Q43" s="37">
        <f t="shared" si="3"/>
        <v>33667.0835</v>
      </c>
    </row>
    <row r="44" spans="1:17" ht="12.75">
      <c r="A44" s="42" t="s">
        <v>35</v>
      </c>
      <c r="B44" s="30" t="s">
        <v>32</v>
      </c>
      <c r="C44" s="31">
        <v>50640.3389</v>
      </c>
      <c r="D44" s="31">
        <v>0.001</v>
      </c>
      <c r="E44" s="42">
        <f t="shared" si="0"/>
        <v>4370.998810081923</v>
      </c>
      <c r="F44" s="33">
        <f t="shared" si="1"/>
        <v>4371</v>
      </c>
      <c r="G44" s="33">
        <f t="shared" si="5"/>
        <v>-0.006088999994972255</v>
      </c>
      <c r="H44" s="33"/>
      <c r="I44" s="33"/>
      <c r="K44" s="33">
        <f>+G44</f>
        <v>-0.006088999994972255</v>
      </c>
      <c r="L44" s="33"/>
      <c r="M44" s="33"/>
      <c r="N44" s="33"/>
      <c r="O44" s="33">
        <f t="shared" si="2"/>
        <v>-0.006321425736275733</v>
      </c>
      <c r="P44" s="33"/>
      <c r="Q44" s="37">
        <f t="shared" si="3"/>
        <v>35621.8389</v>
      </c>
    </row>
    <row r="45" spans="1:21" ht="12.75">
      <c r="A45" s="42" t="s">
        <v>33</v>
      </c>
      <c r="B45" s="30" t="s">
        <v>34</v>
      </c>
      <c r="C45" s="31">
        <v>51993.8053</v>
      </c>
      <c r="D45" s="31">
        <v>0.0011</v>
      </c>
      <c r="E45" s="42">
        <f t="shared" si="0"/>
        <v>4635.494480433382</v>
      </c>
      <c r="F45" s="33">
        <f t="shared" si="1"/>
        <v>4635.5</v>
      </c>
      <c r="G45" s="33"/>
      <c r="H45" s="33"/>
      <c r="I45" s="33"/>
      <c r="L45" s="33"/>
      <c r="M45" s="33"/>
      <c r="N45" s="33"/>
      <c r="O45" s="33">
        <f t="shared" si="2"/>
        <v>-0.01040062220250191</v>
      </c>
      <c r="P45" s="33"/>
      <c r="Q45" s="37">
        <f t="shared" si="3"/>
        <v>36975.3053</v>
      </c>
      <c r="U45" s="52">
        <v>-0.028244499997526873</v>
      </c>
    </row>
    <row r="46" spans="1:17" ht="12.75">
      <c r="A46" t="s">
        <v>120</v>
      </c>
      <c r="B46" s="4" t="s">
        <v>32</v>
      </c>
      <c r="C46" s="11">
        <v>52001.502</v>
      </c>
      <c r="D46" s="11" t="s">
        <v>170</v>
      </c>
      <c r="E46" s="42">
        <f t="shared" si="0"/>
        <v>4636.998576749325</v>
      </c>
      <c r="F46" s="33">
        <f t="shared" si="1"/>
        <v>4637</v>
      </c>
      <c r="G46" s="33">
        <f>+C46-(C$7+F46*C$8)</f>
        <v>-0.007282999999006279</v>
      </c>
      <c r="H46" s="33"/>
      <c r="I46" s="33"/>
      <c r="J46" s="33">
        <f>+G46</f>
        <v>-0.007282999999006279</v>
      </c>
      <c r="L46" s="33"/>
      <c r="M46" s="33"/>
      <c r="N46" s="33"/>
      <c r="O46" s="33">
        <f t="shared" si="2"/>
        <v>-0.010423755641818876</v>
      </c>
      <c r="P46" s="33"/>
      <c r="Q46" s="37">
        <f t="shared" si="3"/>
        <v>36983.002</v>
      </c>
    </row>
    <row r="47" spans="1:17" ht="12.75">
      <c r="A47" s="42" t="s">
        <v>31</v>
      </c>
      <c r="B47" s="30" t="s">
        <v>32</v>
      </c>
      <c r="C47" s="43">
        <v>52011.7312</v>
      </c>
      <c r="D47" s="43">
        <v>0.0009</v>
      </c>
      <c r="E47" s="42">
        <f t="shared" si="0"/>
        <v>4638.997576584977</v>
      </c>
      <c r="F47" s="33">
        <f t="shared" si="1"/>
        <v>4639</v>
      </c>
      <c r="G47" s="33">
        <f>+C47-(C$7+F47*C$8)</f>
        <v>-0.012400999992678408</v>
      </c>
      <c r="H47" s="33"/>
      <c r="I47" s="33"/>
      <c r="K47" s="33">
        <f>+G47</f>
        <v>-0.012400999992678408</v>
      </c>
      <c r="L47" s="33"/>
      <c r="M47" s="33"/>
      <c r="N47" s="33"/>
      <c r="O47" s="33">
        <f t="shared" si="2"/>
        <v>-0.01045460022757485</v>
      </c>
      <c r="P47" s="33"/>
      <c r="Q47" s="37">
        <f t="shared" si="3"/>
        <v>36993.2312</v>
      </c>
    </row>
    <row r="48" spans="1:17" ht="12.75">
      <c r="A48" t="s">
        <v>129</v>
      </c>
      <c r="B48" s="4" t="s">
        <v>32</v>
      </c>
      <c r="C48" s="11">
        <v>52395.5234</v>
      </c>
      <c r="D48" s="11" t="s">
        <v>170</v>
      </c>
      <c r="E48" s="42">
        <f t="shared" si="0"/>
        <v>4713.9986074304115</v>
      </c>
      <c r="F48" s="33">
        <f t="shared" si="1"/>
        <v>4714</v>
      </c>
      <c r="G48" s="33">
        <f>+C48-(C$7+F48*C$8)</f>
        <v>-0.007126000004063826</v>
      </c>
      <c r="H48" s="33"/>
      <c r="I48" s="33"/>
      <c r="J48" s="33">
        <f>+G48</f>
        <v>-0.007126000004063826</v>
      </c>
      <c r="L48" s="33"/>
      <c r="M48" s="33"/>
      <c r="N48" s="33"/>
      <c r="O48" s="33">
        <f t="shared" si="2"/>
        <v>-0.01161127219342347</v>
      </c>
      <c r="P48" s="33"/>
      <c r="Q48" s="37">
        <f t="shared" si="3"/>
        <v>37377.0234</v>
      </c>
    </row>
    <row r="49" spans="1:21" ht="12.75">
      <c r="A49" s="31" t="s">
        <v>47</v>
      </c>
      <c r="B49" s="30"/>
      <c r="C49" s="31">
        <v>52743.468</v>
      </c>
      <c r="D49" s="31">
        <v>0.0008</v>
      </c>
      <c r="E49" s="42">
        <f t="shared" si="0"/>
        <v>4781.9942667405885</v>
      </c>
      <c r="F49" s="33">
        <f t="shared" si="1"/>
        <v>4782</v>
      </c>
      <c r="G49" s="33"/>
      <c r="H49" s="33"/>
      <c r="I49" s="33"/>
      <c r="L49" s="33"/>
      <c r="M49" s="33"/>
      <c r="N49" s="33"/>
      <c r="O49" s="33">
        <f t="shared" si="2"/>
        <v>-0.012659988109126226</v>
      </c>
      <c r="P49" s="33"/>
      <c r="Q49" s="37">
        <f t="shared" si="3"/>
        <v>37724.968</v>
      </c>
      <c r="U49" s="52">
        <v>-0.029338000000279862</v>
      </c>
    </row>
    <row r="50" spans="1:17" ht="12.75">
      <c r="A50" s="40" t="s">
        <v>52</v>
      </c>
      <c r="B50" s="41" t="s">
        <v>32</v>
      </c>
      <c r="C50" s="40">
        <v>54974.5574</v>
      </c>
      <c r="D50" s="40">
        <v>0.0012</v>
      </c>
      <c r="E50" s="42">
        <f t="shared" si="0"/>
        <v>5217.9958449600645</v>
      </c>
      <c r="F50" s="33">
        <f t="shared" si="1"/>
        <v>5218</v>
      </c>
      <c r="G50" s="33">
        <f aca="true" t="shared" si="6" ref="G50:G57">+C50-(C$7+F50*C$8)</f>
        <v>-0.02126200000202516</v>
      </c>
      <c r="H50" s="33"/>
      <c r="I50" s="33"/>
      <c r="K50" s="33">
        <f aca="true" t="shared" si="7" ref="K50:K57">+G50</f>
        <v>-0.02126200000202516</v>
      </c>
      <c r="L50" s="33"/>
      <c r="M50" s="33"/>
      <c r="N50" s="33"/>
      <c r="O50" s="33">
        <f t="shared" si="2"/>
        <v>-0.019384107803926263</v>
      </c>
      <c r="P50" s="33"/>
      <c r="Q50" s="37">
        <f t="shared" si="3"/>
        <v>39956.0574</v>
      </c>
    </row>
    <row r="51" spans="1:17" ht="12.75">
      <c r="A51" s="31" t="s">
        <v>48</v>
      </c>
      <c r="B51" s="30" t="s">
        <v>32</v>
      </c>
      <c r="C51" s="31">
        <v>54984.795</v>
      </c>
      <c r="D51" s="31">
        <v>0.0007</v>
      </c>
      <c r="E51" s="42">
        <f t="shared" si="0"/>
        <v>5219.996486331575</v>
      </c>
      <c r="F51" s="33">
        <f t="shared" si="1"/>
        <v>5220</v>
      </c>
      <c r="G51" s="33">
        <f t="shared" si="6"/>
        <v>-0.017980000004172325</v>
      </c>
      <c r="H51" s="33"/>
      <c r="I51" s="33"/>
      <c r="K51" s="33">
        <f t="shared" si="7"/>
        <v>-0.017980000004172325</v>
      </c>
      <c r="L51" s="33"/>
      <c r="M51" s="33"/>
      <c r="N51" s="33"/>
      <c r="O51" s="33">
        <f t="shared" si="2"/>
        <v>-0.019414952389682223</v>
      </c>
      <c r="P51" s="33"/>
      <c r="Q51" s="37">
        <f t="shared" si="3"/>
        <v>39966.295</v>
      </c>
    </row>
    <row r="52" spans="1:17" ht="12.75">
      <c r="A52" s="40" t="s">
        <v>53</v>
      </c>
      <c r="B52" s="41" t="s">
        <v>32</v>
      </c>
      <c r="C52" s="40">
        <v>55281.5761</v>
      </c>
      <c r="D52" s="40">
        <v>0.0094</v>
      </c>
      <c r="E52" s="42">
        <f t="shared" si="0"/>
        <v>5277.993726597121</v>
      </c>
      <c r="F52" s="33">
        <f t="shared" si="1"/>
        <v>5278</v>
      </c>
      <c r="G52" s="33">
        <f t="shared" si="6"/>
        <v>-0.03210200000467012</v>
      </c>
      <c r="H52" s="33"/>
      <c r="I52" s="33"/>
      <c r="K52" s="33">
        <f t="shared" si="7"/>
        <v>-0.03210200000467012</v>
      </c>
      <c r="L52" s="33"/>
      <c r="M52" s="33"/>
      <c r="N52" s="33"/>
      <c r="O52" s="33">
        <f t="shared" si="2"/>
        <v>-0.020309445376605166</v>
      </c>
      <c r="P52" s="33"/>
      <c r="Q52" s="37">
        <f t="shared" si="3"/>
        <v>40263.0761</v>
      </c>
    </row>
    <row r="53" spans="1:17" ht="12.75">
      <c r="A53" s="40" t="s">
        <v>53</v>
      </c>
      <c r="B53" s="41" t="s">
        <v>34</v>
      </c>
      <c r="C53" s="40">
        <v>55294.3963</v>
      </c>
      <c r="D53" s="40">
        <v>0.0078</v>
      </c>
      <c r="E53" s="42">
        <f t="shared" si="0"/>
        <v>5280.49906207722</v>
      </c>
      <c r="F53" s="33">
        <f t="shared" si="1"/>
        <v>5280.5</v>
      </c>
      <c r="G53" s="33">
        <f t="shared" si="6"/>
        <v>-0.0047994999986258335</v>
      </c>
      <c r="H53" s="33"/>
      <c r="I53" s="33"/>
      <c r="K53" s="33">
        <f t="shared" si="7"/>
        <v>-0.0047994999986258335</v>
      </c>
      <c r="L53" s="33"/>
      <c r="M53" s="33"/>
      <c r="N53" s="33"/>
      <c r="O53" s="33">
        <f t="shared" si="2"/>
        <v>-0.02034800110880012</v>
      </c>
      <c r="P53" s="33"/>
      <c r="Q53" s="37">
        <f t="shared" si="3"/>
        <v>40275.8963</v>
      </c>
    </row>
    <row r="54" spans="1:17" ht="12.75">
      <c r="A54" s="40" t="s">
        <v>55</v>
      </c>
      <c r="B54" s="41" t="s">
        <v>32</v>
      </c>
      <c r="C54" s="40">
        <v>55629.5479</v>
      </c>
      <c r="D54" s="40">
        <v>0.0076</v>
      </c>
      <c r="E54" s="42">
        <f t="shared" si="0"/>
        <v>5345.994701356749</v>
      </c>
      <c r="F54" s="33">
        <f t="shared" si="1"/>
        <v>5346</v>
      </c>
      <c r="G54" s="33">
        <f t="shared" si="6"/>
        <v>-0.027114000004075933</v>
      </c>
      <c r="H54" s="33"/>
      <c r="I54" s="33"/>
      <c r="K54" s="33">
        <f t="shared" si="7"/>
        <v>-0.027114000004075933</v>
      </c>
      <c r="L54" s="33"/>
      <c r="M54" s="33"/>
      <c r="N54" s="33"/>
      <c r="O54" s="33">
        <f t="shared" si="2"/>
        <v>-0.02135816129230792</v>
      </c>
      <c r="P54" s="33"/>
      <c r="Q54" s="37">
        <f t="shared" si="3"/>
        <v>40611.0479</v>
      </c>
    </row>
    <row r="55" spans="1:17" ht="12.75">
      <c r="A55" s="40" t="s">
        <v>54</v>
      </c>
      <c r="B55" s="41" t="s">
        <v>32</v>
      </c>
      <c r="C55" s="40">
        <v>55685.8404</v>
      </c>
      <c r="D55" s="40">
        <v>0.0007</v>
      </c>
      <c r="E55" s="42">
        <f t="shared" si="0"/>
        <v>5356.995434380679</v>
      </c>
      <c r="F55" s="33">
        <f t="shared" si="1"/>
        <v>5357</v>
      </c>
      <c r="G55" s="33">
        <f t="shared" si="6"/>
        <v>-0.023363000000244938</v>
      </c>
      <c r="H55" s="33"/>
      <c r="I55" s="33"/>
      <c r="K55" s="33">
        <f t="shared" si="7"/>
        <v>-0.023363000000244938</v>
      </c>
      <c r="L55" s="33"/>
      <c r="M55" s="33"/>
      <c r="N55" s="33"/>
      <c r="O55" s="33">
        <f t="shared" si="2"/>
        <v>-0.02152780651396572</v>
      </c>
      <c r="P55" s="33"/>
      <c r="Q55" s="37">
        <f t="shared" si="3"/>
        <v>40667.3404</v>
      </c>
    </row>
    <row r="56" spans="1:17" ht="12.75">
      <c r="A56" t="s">
        <v>164</v>
      </c>
      <c r="B56" s="4" t="s">
        <v>34</v>
      </c>
      <c r="C56" s="11">
        <v>55775.3971</v>
      </c>
      <c r="D56" s="11" t="s">
        <v>171</v>
      </c>
      <c r="E56" s="42">
        <f t="shared" si="0"/>
        <v>5374.496688494534</v>
      </c>
      <c r="F56" s="33">
        <f t="shared" si="1"/>
        <v>5374.5</v>
      </c>
      <c r="G56" s="33">
        <f t="shared" si="6"/>
        <v>-0.016945499999565072</v>
      </c>
      <c r="H56" s="33"/>
      <c r="I56" s="33"/>
      <c r="K56" s="33">
        <f t="shared" si="7"/>
        <v>-0.016945499999565072</v>
      </c>
      <c r="L56" s="33"/>
      <c r="M56" s="33"/>
      <c r="N56" s="33"/>
      <c r="O56" s="33">
        <f t="shared" si="2"/>
        <v>-0.021797696639330406</v>
      </c>
      <c r="P56" s="33"/>
      <c r="Q56" s="37">
        <f t="shared" si="3"/>
        <v>40756.8971</v>
      </c>
    </row>
    <row r="57" spans="1:17" ht="12.75">
      <c r="A57" s="31" t="s">
        <v>59</v>
      </c>
      <c r="B57" s="30" t="s">
        <v>32</v>
      </c>
      <c r="C57" s="31">
        <v>56038.9262</v>
      </c>
      <c r="D57" s="31">
        <v>0.0018</v>
      </c>
      <c r="E57" s="42">
        <f t="shared" si="0"/>
        <v>5425.995791805571</v>
      </c>
      <c r="F57" s="33">
        <f t="shared" si="1"/>
        <v>5426</v>
      </c>
      <c r="G57" s="33">
        <f t="shared" si="6"/>
        <v>-0.021533999999519438</v>
      </c>
      <c r="H57" s="33"/>
      <c r="I57" s="33"/>
      <c r="K57" s="33">
        <f t="shared" si="7"/>
        <v>-0.021533999999519438</v>
      </c>
      <c r="L57" s="33"/>
      <c r="M57" s="33"/>
      <c r="N57" s="33"/>
      <c r="O57" s="33">
        <f t="shared" si="2"/>
        <v>-0.022591944722546463</v>
      </c>
      <c r="P57" s="33"/>
      <c r="Q57" s="37">
        <f t="shared" si="3"/>
        <v>41020.4262</v>
      </c>
    </row>
    <row r="58" spans="1:17" ht="12.75">
      <c r="A58" s="43" t="s">
        <v>180</v>
      </c>
      <c r="B58" s="54" t="s">
        <v>32</v>
      </c>
      <c r="C58" s="43">
        <v>56783.4682</v>
      </c>
      <c r="D58" s="43">
        <v>0.0212</v>
      </c>
      <c r="E58" s="42">
        <f>+(C58-C$7)/C$8</f>
        <v>5571.494886127244</v>
      </c>
      <c r="F58" s="33">
        <f t="shared" si="1"/>
        <v>5571.5</v>
      </c>
      <c r="G58" s="33">
        <f>+C58-(C$7+F58*C$8)</f>
        <v>-0.026168500000494532</v>
      </c>
      <c r="H58" s="33"/>
      <c r="I58" s="33"/>
      <c r="K58" s="33">
        <f>+G58</f>
        <v>-0.026168500000494532</v>
      </c>
      <c r="L58" s="33"/>
      <c r="M58" s="33"/>
      <c r="N58" s="33"/>
      <c r="O58" s="33">
        <f>+C$11+C$12*F58</f>
        <v>-0.024835888336292807</v>
      </c>
      <c r="P58" s="33"/>
      <c r="Q58" s="37">
        <f>+C58-15018.5</f>
        <v>41764.9682</v>
      </c>
    </row>
    <row r="59" spans="1:17" ht="12.75">
      <c r="A59" s="55" t="s">
        <v>181</v>
      </c>
      <c r="B59" s="56" t="s">
        <v>32</v>
      </c>
      <c r="C59" s="57">
        <v>57072.59</v>
      </c>
      <c r="D59" s="57">
        <v>0.01</v>
      </c>
      <c r="E59" s="42">
        <f>+(C59-C$7)/C$8</f>
        <v>5627.995338819841</v>
      </c>
      <c r="F59" s="33">
        <f t="shared" si="1"/>
        <v>5628</v>
      </c>
      <c r="G59" s="33">
        <f>+C59-(C$7+F59*C$8)</f>
        <v>-0.023851999998441897</v>
      </c>
      <c r="H59" s="33"/>
      <c r="I59" s="33"/>
      <c r="K59" s="33">
        <f>+G59</f>
        <v>-0.023851999998441897</v>
      </c>
      <c r="L59" s="33"/>
      <c r="M59" s="33"/>
      <c r="N59" s="33"/>
      <c r="O59" s="33">
        <f>+C$11+C$12*F59</f>
        <v>-0.02570724788389877</v>
      </c>
      <c r="P59" s="33"/>
      <c r="Q59" s="37">
        <f>+C59-15018.5</f>
        <v>42054.09</v>
      </c>
    </row>
    <row r="60" spans="1:17" ht="12.75">
      <c r="A60" s="58" t="s">
        <v>1</v>
      </c>
      <c r="B60" s="59" t="s">
        <v>32</v>
      </c>
      <c r="C60" s="60">
        <v>57131.4371</v>
      </c>
      <c r="D60" s="60">
        <v>0.0106</v>
      </c>
      <c r="E60" s="42">
        <f>+(C60-C$7)/C$8</f>
        <v>5639.495294166159</v>
      </c>
      <c r="F60" s="33">
        <f t="shared" si="1"/>
        <v>5639.5</v>
      </c>
      <c r="G60" s="33">
        <f>+C60-(C$7+F60*C$8)</f>
        <v>-0.024080499999399763</v>
      </c>
      <c r="H60" s="33"/>
      <c r="I60" s="33"/>
      <c r="K60" s="33">
        <f>+G60</f>
        <v>-0.024080499999399763</v>
      </c>
      <c r="L60" s="33"/>
      <c r="M60" s="33"/>
      <c r="N60" s="33"/>
      <c r="O60" s="33">
        <f>+C$11+C$12*F60</f>
        <v>-0.025884604251995562</v>
      </c>
      <c r="P60" s="33"/>
      <c r="Q60" s="37">
        <f>+C60-15018.5</f>
        <v>42112.9371</v>
      </c>
    </row>
    <row r="61" spans="1:17" ht="12.75">
      <c r="A61" s="61" t="s">
        <v>0</v>
      </c>
      <c r="B61" s="62" t="s">
        <v>32</v>
      </c>
      <c r="C61" s="62">
        <v>57855.5058</v>
      </c>
      <c r="D61" s="62">
        <v>0.0027</v>
      </c>
      <c r="E61" s="42">
        <f>+(C61-C$7)/C$8</f>
        <v>5780.993477044587</v>
      </c>
      <c r="F61" s="33">
        <f t="shared" si="1"/>
        <v>5781</v>
      </c>
      <c r="G61" s="33">
        <f>+C61-(C$7+F61*C$8)</f>
        <v>-0.03337900000042282</v>
      </c>
      <c r="H61" s="33"/>
      <c r="I61" s="33"/>
      <c r="K61" s="33">
        <f>+G61</f>
        <v>-0.03337900000042282</v>
      </c>
      <c r="L61" s="33"/>
      <c r="M61" s="33"/>
      <c r="N61" s="33"/>
      <c r="O61" s="33">
        <f>+C$11+C$12*F61</f>
        <v>-0.028066858694229972</v>
      </c>
      <c r="P61" s="33"/>
      <c r="Q61" s="37">
        <f>+C61-15018.5</f>
        <v>42837.0058</v>
      </c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</sheetData>
  <sheetProtection/>
  <hyperlinks>
    <hyperlink ref="H1319" r:id="rId1" display="http://vsolj.cetus-net.org/bulletin.html"/>
    <hyperlink ref="H64828" r:id="rId2" display="http://vsolj.cetus-net.org/bulletin.html"/>
    <hyperlink ref="H64821" r:id="rId3" display="https://www.aavso.org/ejaavso"/>
    <hyperlink ref="AP972" r:id="rId4" display="http://cdsbib.u-strasbg.fr/cgi-bin/cdsbib?1990RMxAA..21..381G"/>
    <hyperlink ref="AP976" r:id="rId5" display="http://cdsbib.u-strasbg.fr/cgi-bin/cdsbib?1990RMxAA..21..381G"/>
    <hyperlink ref="AP975" r:id="rId6" display="http://cdsbib.u-strasbg.fr/cgi-bin/cdsbib?1990RMxAA..21..381G"/>
    <hyperlink ref="AP956" r:id="rId7" display="http://cdsbib.u-strasbg.fr/cgi-bin/cdsbib?1990RMxAA..21..381G"/>
    <hyperlink ref="I64828" r:id="rId8" display="http://vsolj.cetus-net.org/bulletin.html"/>
    <hyperlink ref="AQ1112" r:id="rId9" display="http://cdsbib.u-strasbg.fr/cgi-bin/cdsbib?1990RMxAA..21..381G"/>
    <hyperlink ref="AQ55878" r:id="rId10" display="http://cdsbib.u-strasbg.fr/cgi-bin/cdsbib?1990RMxAA..21..381G"/>
    <hyperlink ref="AQ1113" r:id="rId11" display="http://cdsbib.u-strasbg.fr/cgi-bin/cdsbib?1990RMxAA..21..381G"/>
    <hyperlink ref="H64825" r:id="rId12" display="https://www.aavso.org/ejaavso"/>
    <hyperlink ref="H1998" r:id="rId13" display="http://vsolj.cetus-net.org/bulletin.html"/>
    <hyperlink ref="AP3242" r:id="rId14" display="http://cdsbib.u-strasbg.fr/cgi-bin/cdsbib?1990RMxAA..21..381G"/>
    <hyperlink ref="AP3245" r:id="rId15" display="http://cdsbib.u-strasbg.fr/cgi-bin/cdsbib?1990RMxAA..21..381G"/>
    <hyperlink ref="AP3243" r:id="rId16" display="http://cdsbib.u-strasbg.fr/cgi-bin/cdsbib?1990RMxAA..21..381G"/>
    <hyperlink ref="AP3227" r:id="rId17" display="http://cdsbib.u-strasbg.fr/cgi-bin/cdsbib?1990RMxAA..21..381G"/>
    <hyperlink ref="I1998" r:id="rId18" display="http://vsolj.cetus-net.org/bulletin.html"/>
    <hyperlink ref="AQ3456" r:id="rId19" display="http://cdsbib.u-strasbg.fr/cgi-bin/cdsbib?1990RMxAA..21..381G"/>
    <hyperlink ref="AQ157" r:id="rId20" display="http://cdsbib.u-strasbg.fr/cgi-bin/cdsbib?1990RMxAA..21..381G"/>
    <hyperlink ref="AQ3460" r:id="rId21" display="http://cdsbib.u-strasbg.fr/cgi-bin/cdsbib?1990RMxAA..21..381G"/>
  </hyperlinks>
  <printOptions/>
  <pageMargins left="0.75" right="0.75" top="1" bottom="1" header="0.5" footer="0.5"/>
  <pageSetup horizontalDpi="300" verticalDpi="300" orientation="portrait" r:id="rId23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1297"/>
  <sheetViews>
    <sheetView zoomScalePageLayoutView="0" workbookViewId="0" topLeftCell="A1">
      <pane xSplit="13" ySplit="22" topLeftCell="N38" activePane="bottomRight" state="frozen"/>
      <selection pane="topLeft" activeCell="A1" sqref="A1"/>
      <selection pane="topRight" activeCell="N1" sqref="N1"/>
      <selection pane="bottomLeft" activeCell="A23" sqref="A23"/>
      <selection pane="bottomRight" activeCell="E2" sqref="E2"/>
    </sheetView>
  </sheetViews>
  <sheetFormatPr defaultColWidth="10.28125" defaultRowHeight="12.75"/>
  <cols>
    <col min="1" max="1" width="19.57421875" style="0" customWidth="1"/>
    <col min="2" max="2" width="5.140625" style="4" customWidth="1"/>
    <col min="3" max="3" width="11.8515625" style="0" customWidth="1"/>
    <col min="4" max="4" width="9.421875" style="0" customWidth="1"/>
    <col min="5" max="5" width="16.8515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5" ht="12.75">
      <c r="A2" t="s">
        <v>26</v>
      </c>
      <c r="B2" s="10" t="s">
        <v>36</v>
      </c>
      <c r="E2" s="63" t="s">
        <v>182</v>
      </c>
    </row>
    <row r="3" spans="1:3" ht="13.5" thickBot="1">
      <c r="A3" s="17" t="s">
        <v>176</v>
      </c>
      <c r="C3" s="9"/>
    </row>
    <row r="4" spans="1:4" ht="14.25" thickBot="1" thickTop="1">
      <c r="A4" s="6" t="s">
        <v>2</v>
      </c>
      <c r="C4" s="2">
        <v>28273.243</v>
      </c>
      <c r="D4" s="3">
        <v>5.117159</v>
      </c>
    </row>
    <row r="6" ht="12.75">
      <c r="A6" s="6" t="s">
        <v>3</v>
      </c>
    </row>
    <row r="7" spans="1:4" ht="12.75">
      <c r="A7" t="s">
        <v>4</v>
      </c>
      <c r="C7">
        <v>28273.243</v>
      </c>
      <c r="D7" s="17" t="s">
        <v>176</v>
      </c>
    </row>
    <row r="8" spans="1:4" ht="12.75">
      <c r="A8" t="s">
        <v>5</v>
      </c>
      <c r="C8">
        <f>+D4</f>
        <v>5.117159</v>
      </c>
      <c r="D8" s="17" t="s">
        <v>176</v>
      </c>
    </row>
    <row r="9" spans="1:5" ht="12.75">
      <c r="A9" s="12" t="s">
        <v>40</v>
      </c>
      <c r="B9" s="13"/>
      <c r="C9" s="14">
        <v>-9.5</v>
      </c>
      <c r="D9" s="13" t="s">
        <v>41</v>
      </c>
      <c r="E9" s="13"/>
    </row>
    <row r="10" spans="1:5" ht="13.5" thickBot="1">
      <c r="A10" s="13"/>
      <c r="B10" s="13"/>
      <c r="C10" s="5" t="s">
        <v>22</v>
      </c>
      <c r="D10" s="5" t="s">
        <v>23</v>
      </c>
      <c r="E10" s="13"/>
    </row>
    <row r="11" spans="1:7" ht="12.75">
      <c r="A11" s="13" t="s">
        <v>18</v>
      </c>
      <c r="B11" s="13"/>
      <c r="C11" s="15">
        <f ca="1">INTERCEPT(INDIRECT($G$11):G991,INDIRECT($F$11):F991)</f>
        <v>0.06068985803606475</v>
      </c>
      <c r="D11" s="4"/>
      <c r="E11" s="13"/>
      <c r="F11" s="16" t="str">
        <f>"F"&amp;E19</f>
        <v>F36</v>
      </c>
      <c r="G11" s="17" t="str">
        <f>"G"&amp;E19</f>
        <v>G36</v>
      </c>
    </row>
    <row r="12" spans="1:5" ht="12.75">
      <c r="A12" s="13" t="s">
        <v>19</v>
      </c>
      <c r="B12" s="13"/>
      <c r="C12" s="15">
        <f ca="1">SLOPE(INDIRECT($G$11):G991,INDIRECT($F$11):F991)</f>
        <v>-1.5625993854613157E-05</v>
      </c>
      <c r="D12" s="4"/>
      <c r="E12" s="13"/>
    </row>
    <row r="13" spans="1:5" ht="12.75">
      <c r="A13" s="13" t="s">
        <v>21</v>
      </c>
      <c r="B13" s="13"/>
      <c r="C13" s="4" t="s">
        <v>16</v>
      </c>
      <c r="D13" s="20" t="s">
        <v>49</v>
      </c>
      <c r="E13" s="14">
        <v>1</v>
      </c>
    </row>
    <row r="14" spans="1:5" ht="12.75">
      <c r="A14" s="13"/>
      <c r="B14" s="13"/>
      <c r="C14" s="13"/>
      <c r="D14" s="20" t="s">
        <v>42</v>
      </c>
      <c r="E14" s="21">
        <f ca="1">NOW()+15018.5+$C$9/24</f>
        <v>59896.69045300926</v>
      </c>
    </row>
    <row r="15" spans="1:5" ht="12.75">
      <c r="A15" s="18" t="s">
        <v>20</v>
      </c>
      <c r="B15" s="13"/>
      <c r="C15" s="19">
        <f>(C7+C11)+(C8+C12)*INT(MAX(F21:F3532))</f>
        <v>57855.50953498756</v>
      </c>
      <c r="D15" s="20" t="s">
        <v>50</v>
      </c>
      <c r="E15" s="21">
        <f>ROUND(2*(E14-$C$7)/$C$8,0)/2+E13</f>
        <v>6181</v>
      </c>
    </row>
    <row r="16" spans="1:5" ht="12.75">
      <c r="A16" s="22" t="s">
        <v>6</v>
      </c>
      <c r="B16" s="13"/>
      <c r="C16" s="23">
        <f>+C8+C12</f>
        <v>5.117143374006146</v>
      </c>
      <c r="D16" s="20" t="s">
        <v>43</v>
      </c>
      <c r="E16" s="17">
        <f>ROUND(2*(E14-$C$15)/$C$16,0)/2+E13</f>
        <v>400</v>
      </c>
    </row>
    <row r="17" spans="1:5" ht="13.5" thickBot="1">
      <c r="A17" s="20" t="s">
        <v>38</v>
      </c>
      <c r="B17" s="13"/>
      <c r="C17" s="13">
        <f>COUNT(C21:C2190)</f>
        <v>41</v>
      </c>
      <c r="D17" s="20" t="s">
        <v>44</v>
      </c>
      <c r="E17" s="24">
        <f>+$C$15+$C$16*E16-15018.5-$C$9/24</f>
        <v>44884.26271792336</v>
      </c>
    </row>
    <row r="18" spans="1:5" ht="12.75">
      <c r="A18" s="22" t="s">
        <v>7</v>
      </c>
      <c r="B18" s="13"/>
      <c r="C18" s="25">
        <f>+C15</f>
        <v>57855.50953498756</v>
      </c>
      <c r="D18" s="26">
        <f>+C16</f>
        <v>5.117143374006146</v>
      </c>
      <c r="E18" s="27" t="s">
        <v>45</v>
      </c>
    </row>
    <row r="19" spans="1:5" ht="13.5" thickTop="1">
      <c r="A19" s="28" t="s">
        <v>46</v>
      </c>
      <c r="B19"/>
      <c r="E19" s="29">
        <v>36</v>
      </c>
    </row>
    <row r="20" spans="1:19" ht="13.5" thickBot="1">
      <c r="A20" s="5" t="s">
        <v>8</v>
      </c>
      <c r="B20" s="5" t="s">
        <v>9</v>
      </c>
      <c r="C20" s="5" t="s">
        <v>10</v>
      </c>
      <c r="D20" s="5" t="s">
        <v>15</v>
      </c>
      <c r="E20" s="5" t="s">
        <v>11</v>
      </c>
      <c r="F20" s="5" t="s">
        <v>12</v>
      </c>
      <c r="G20" s="5" t="s">
        <v>13</v>
      </c>
      <c r="H20" s="8" t="s">
        <v>172</v>
      </c>
      <c r="I20" s="8" t="s">
        <v>173</v>
      </c>
      <c r="J20" s="8" t="s">
        <v>51</v>
      </c>
      <c r="K20" s="8" t="s">
        <v>174</v>
      </c>
      <c r="L20" s="8" t="s">
        <v>27</v>
      </c>
      <c r="M20" s="8" t="s">
        <v>28</v>
      </c>
      <c r="N20" s="8" t="s">
        <v>29</v>
      </c>
      <c r="O20" s="8" t="s">
        <v>25</v>
      </c>
      <c r="P20" s="7" t="s">
        <v>24</v>
      </c>
      <c r="Q20" s="5" t="s">
        <v>17</v>
      </c>
      <c r="R20" s="47" t="s">
        <v>175</v>
      </c>
      <c r="S20" s="47" t="s">
        <v>177</v>
      </c>
    </row>
    <row r="21" spans="1:17" ht="12.75">
      <c r="A21" s="33" t="s">
        <v>63</v>
      </c>
      <c r="B21" s="34" t="s">
        <v>32</v>
      </c>
      <c r="C21" s="35">
        <v>27623.393</v>
      </c>
      <c r="D21" s="35" t="s">
        <v>169</v>
      </c>
      <c r="E21" s="42">
        <f aca="true" t="shared" si="0" ref="E21:E57">+(C21-C$7)/C$8</f>
        <v>-126.99429507662329</v>
      </c>
      <c r="F21" s="33">
        <f aca="true" t="shared" si="1" ref="F21:F57">ROUND(2*E21,0)/2</f>
        <v>-127</v>
      </c>
      <c r="G21" s="33">
        <f aca="true" t="shared" si="2" ref="G21:G29">+C21-(C$7+F21*C$8)</f>
        <v>0.02919300000212388</v>
      </c>
      <c r="H21" s="33"/>
      <c r="I21" s="33">
        <f aca="true" t="shared" si="3" ref="I21:I29">+G21</f>
        <v>0.02919300000212388</v>
      </c>
      <c r="L21" s="33"/>
      <c r="M21" s="33"/>
      <c r="N21" s="33"/>
      <c r="O21" s="33">
        <f aca="true" t="shared" si="4" ref="O21:O57">+C$11+C$12*F21</f>
        <v>0.06267435925560062</v>
      </c>
      <c r="P21" s="33"/>
      <c r="Q21" s="37">
        <f aca="true" t="shared" si="5" ref="Q21:Q57">+C21-15018.5</f>
        <v>12604.893</v>
      </c>
    </row>
    <row r="22" spans="1:17" ht="12.75">
      <c r="A22" s="33" t="s">
        <v>63</v>
      </c>
      <c r="B22" s="34" t="s">
        <v>32</v>
      </c>
      <c r="C22" s="35">
        <v>27628.504</v>
      </c>
      <c r="D22" s="35" t="s">
        <v>169</v>
      </c>
      <c r="E22" s="42">
        <f t="shared" si="0"/>
        <v>-125.99549867416623</v>
      </c>
      <c r="F22" s="33">
        <f t="shared" si="1"/>
        <v>-126</v>
      </c>
      <c r="G22" s="33">
        <f t="shared" si="2"/>
        <v>0.023034000001644017</v>
      </c>
      <c r="H22" s="33"/>
      <c r="I22" s="33">
        <f t="shared" si="3"/>
        <v>0.023034000001644017</v>
      </c>
      <c r="L22" s="33"/>
      <c r="M22" s="33"/>
      <c r="N22" s="33"/>
      <c r="O22" s="33">
        <f t="shared" si="4"/>
        <v>0.06265873326174601</v>
      </c>
      <c r="P22" s="33"/>
      <c r="Q22" s="37">
        <f t="shared" si="5"/>
        <v>12610.004</v>
      </c>
    </row>
    <row r="23" spans="1:17" ht="12.75">
      <c r="A23" t="s">
        <v>68</v>
      </c>
      <c r="B23" s="4" t="s">
        <v>32</v>
      </c>
      <c r="C23" s="11">
        <v>27659.221</v>
      </c>
      <c r="D23" s="11" t="s">
        <v>169</v>
      </c>
      <c r="E23" s="42">
        <f t="shared" si="0"/>
        <v>-119.99275379170301</v>
      </c>
      <c r="F23" s="33">
        <f t="shared" si="1"/>
        <v>-120</v>
      </c>
      <c r="G23" s="33">
        <f t="shared" si="2"/>
        <v>0.03708000000187894</v>
      </c>
      <c r="H23" s="33"/>
      <c r="I23" s="33">
        <f t="shared" si="3"/>
        <v>0.03708000000187894</v>
      </c>
      <c r="L23" s="33"/>
      <c r="M23" s="33"/>
      <c r="N23" s="33"/>
      <c r="O23" s="33">
        <f t="shared" si="4"/>
        <v>0.06256497729861833</v>
      </c>
      <c r="P23" s="33"/>
      <c r="Q23" s="37">
        <f t="shared" si="5"/>
        <v>12640.721000000001</v>
      </c>
    </row>
    <row r="24" spans="1:17" ht="12.75">
      <c r="A24" t="s">
        <v>68</v>
      </c>
      <c r="B24" s="4" t="s">
        <v>32</v>
      </c>
      <c r="C24" s="11">
        <v>27710.369</v>
      </c>
      <c r="D24" s="11" t="s">
        <v>169</v>
      </c>
      <c r="E24" s="42">
        <f t="shared" si="0"/>
        <v>-109.99736377157711</v>
      </c>
      <c r="F24" s="33">
        <f t="shared" si="1"/>
        <v>-110</v>
      </c>
      <c r="G24" s="33">
        <f t="shared" si="2"/>
        <v>0.013490000001183944</v>
      </c>
      <c r="H24" s="33"/>
      <c r="I24" s="33">
        <f t="shared" si="3"/>
        <v>0.013490000001183944</v>
      </c>
      <c r="L24" s="33"/>
      <c r="M24" s="33"/>
      <c r="N24" s="33"/>
      <c r="O24" s="33">
        <f t="shared" si="4"/>
        <v>0.0624087173600722</v>
      </c>
      <c r="P24" s="33"/>
      <c r="Q24" s="37">
        <f t="shared" si="5"/>
        <v>12691.868999999999</v>
      </c>
    </row>
    <row r="25" spans="1:17" ht="12.75">
      <c r="A25" t="s">
        <v>68</v>
      </c>
      <c r="B25" s="4" t="s">
        <v>32</v>
      </c>
      <c r="C25" s="11">
        <v>27966.219</v>
      </c>
      <c r="D25" s="11" t="s">
        <v>169</v>
      </c>
      <c r="E25" s="42">
        <f t="shared" si="0"/>
        <v>-59.998917368015654</v>
      </c>
      <c r="F25" s="33">
        <f t="shared" si="1"/>
        <v>-60</v>
      </c>
      <c r="G25" s="33">
        <f t="shared" si="2"/>
        <v>0.005540000001929002</v>
      </c>
      <c r="H25" s="33"/>
      <c r="I25" s="33">
        <f t="shared" si="3"/>
        <v>0.005540000001929002</v>
      </c>
      <c r="L25" s="33"/>
      <c r="M25" s="33"/>
      <c r="N25" s="33"/>
      <c r="O25" s="33">
        <f t="shared" si="4"/>
        <v>0.06162741766734154</v>
      </c>
      <c r="P25" s="33"/>
      <c r="Q25" s="37">
        <f t="shared" si="5"/>
        <v>12947.719000000001</v>
      </c>
    </row>
    <row r="26" spans="1:17" ht="12.75">
      <c r="A26" t="s">
        <v>68</v>
      </c>
      <c r="B26" s="4" t="s">
        <v>32</v>
      </c>
      <c r="C26" s="11">
        <v>27976.48</v>
      </c>
      <c r="D26" s="11" t="s">
        <v>169</v>
      </c>
      <c r="E26" s="42">
        <f t="shared" si="0"/>
        <v>-57.993703146609086</v>
      </c>
      <c r="F26" s="33">
        <f t="shared" si="1"/>
        <v>-58</v>
      </c>
      <c r="G26" s="33">
        <f t="shared" si="2"/>
        <v>0.03222200000163866</v>
      </c>
      <c r="H26" s="33"/>
      <c r="I26" s="33">
        <f t="shared" si="3"/>
        <v>0.03222200000163866</v>
      </c>
      <c r="L26" s="33"/>
      <c r="M26" s="33"/>
      <c r="N26" s="33"/>
      <c r="O26" s="33">
        <f t="shared" si="4"/>
        <v>0.06159616567963231</v>
      </c>
      <c r="P26" s="33"/>
      <c r="Q26" s="37">
        <f t="shared" si="5"/>
        <v>12957.98</v>
      </c>
    </row>
    <row r="27" spans="1:17" ht="12.75">
      <c r="A27" t="s">
        <v>68</v>
      </c>
      <c r="B27" s="4" t="s">
        <v>32</v>
      </c>
      <c r="C27" s="11">
        <v>28022.494</v>
      </c>
      <c r="D27" s="11" t="s">
        <v>169</v>
      </c>
      <c r="E27" s="42">
        <f t="shared" si="0"/>
        <v>-49.001604210461274</v>
      </c>
      <c r="F27" s="33">
        <f t="shared" si="1"/>
        <v>-49</v>
      </c>
      <c r="G27" s="33">
        <f t="shared" si="2"/>
        <v>-0.008208999999624211</v>
      </c>
      <c r="H27" s="33"/>
      <c r="I27" s="33">
        <f t="shared" si="3"/>
        <v>-0.008208999999624211</v>
      </c>
      <c r="L27" s="33"/>
      <c r="M27" s="33"/>
      <c r="N27" s="33"/>
      <c r="O27" s="33">
        <f t="shared" si="4"/>
        <v>0.06145553173494079</v>
      </c>
      <c r="P27" s="33"/>
      <c r="Q27" s="37">
        <f t="shared" si="5"/>
        <v>13003.993999999999</v>
      </c>
    </row>
    <row r="28" spans="1:17" ht="12.75">
      <c r="A28" t="s">
        <v>68</v>
      </c>
      <c r="B28" s="4" t="s">
        <v>32</v>
      </c>
      <c r="C28" s="11">
        <v>28068.492</v>
      </c>
      <c r="D28" s="11" t="s">
        <v>169</v>
      </c>
      <c r="E28" s="42">
        <f t="shared" si="0"/>
        <v>-40.01263200928488</v>
      </c>
      <c r="F28" s="33">
        <f t="shared" si="1"/>
        <v>-40</v>
      </c>
      <c r="G28" s="33">
        <f t="shared" si="2"/>
        <v>-0.06464000000050873</v>
      </c>
      <c r="H28" s="33"/>
      <c r="I28" s="33">
        <f t="shared" si="3"/>
        <v>-0.06464000000050873</v>
      </c>
      <c r="L28" s="33"/>
      <c r="M28" s="33"/>
      <c r="N28" s="33"/>
      <c r="O28" s="33">
        <f t="shared" si="4"/>
        <v>0.061314897790249276</v>
      </c>
      <c r="P28" s="33"/>
      <c r="Q28" s="37">
        <f t="shared" si="5"/>
        <v>13049.991999999998</v>
      </c>
    </row>
    <row r="29" spans="1:17" ht="12.75">
      <c r="A29" t="s">
        <v>68</v>
      </c>
      <c r="B29" s="4" t="s">
        <v>32</v>
      </c>
      <c r="C29" s="11">
        <v>28109.416</v>
      </c>
      <c r="D29" s="11" t="s">
        <v>169</v>
      </c>
      <c r="E29" s="42">
        <f t="shared" si="0"/>
        <v>-32.0152256359432</v>
      </c>
      <c r="F29" s="33">
        <f t="shared" si="1"/>
        <v>-32</v>
      </c>
      <c r="G29" s="33">
        <f t="shared" si="2"/>
        <v>-0.07791199999701348</v>
      </c>
      <c r="H29" s="33"/>
      <c r="I29" s="33">
        <f t="shared" si="3"/>
        <v>-0.07791199999701348</v>
      </c>
      <c r="L29" s="33"/>
      <c r="M29" s="33"/>
      <c r="N29" s="33"/>
      <c r="O29" s="33">
        <f t="shared" si="4"/>
        <v>0.06118988983941237</v>
      </c>
      <c r="P29" s="33"/>
      <c r="Q29" s="37">
        <f t="shared" si="5"/>
        <v>13090.916000000001</v>
      </c>
    </row>
    <row r="30" spans="1:17" ht="12.75">
      <c r="A30" s="33" t="s">
        <v>14</v>
      </c>
      <c r="B30" s="34"/>
      <c r="C30" s="35">
        <v>28273.243</v>
      </c>
      <c r="D30" s="35" t="s">
        <v>16</v>
      </c>
      <c r="E30" s="33">
        <f t="shared" si="0"/>
        <v>0</v>
      </c>
      <c r="F30" s="33">
        <f t="shared" si="1"/>
        <v>0</v>
      </c>
      <c r="G30" s="33"/>
      <c r="H30" s="36">
        <v>0</v>
      </c>
      <c r="I30" s="33"/>
      <c r="J30" s="33"/>
      <c r="K30" s="33"/>
      <c r="L30" s="33"/>
      <c r="M30" s="33"/>
      <c r="N30" s="33"/>
      <c r="O30" s="33">
        <f t="shared" si="4"/>
        <v>0.06068985803606475</v>
      </c>
      <c r="P30" s="33"/>
      <c r="Q30" s="37">
        <f t="shared" si="5"/>
        <v>13254.742999999999</v>
      </c>
    </row>
    <row r="31" spans="1:17" ht="12.75">
      <c r="A31" t="s">
        <v>84</v>
      </c>
      <c r="B31" s="4" t="s">
        <v>32</v>
      </c>
      <c r="C31" s="11">
        <v>28273.281</v>
      </c>
      <c r="D31" s="11" t="s">
        <v>169</v>
      </c>
      <c r="E31" s="42">
        <f t="shared" si="0"/>
        <v>0.007425995557391448</v>
      </c>
      <c r="F31" s="33">
        <f t="shared" si="1"/>
        <v>0</v>
      </c>
      <c r="G31" s="33">
        <f aca="true" t="shared" si="6" ref="G31:G45">+C31-(C$7+F31*C$8)</f>
        <v>0.03800000000046566</v>
      </c>
      <c r="H31" s="33"/>
      <c r="I31" s="33">
        <f>+G31</f>
        <v>0.03800000000046566</v>
      </c>
      <c r="L31" s="33"/>
      <c r="M31" s="33"/>
      <c r="N31" s="33"/>
      <c r="O31" s="33">
        <f t="shared" si="4"/>
        <v>0.06068985803606475</v>
      </c>
      <c r="P31" s="33"/>
      <c r="Q31" s="37">
        <f t="shared" si="5"/>
        <v>13254.780999999999</v>
      </c>
    </row>
    <row r="32" spans="1:17" ht="12.75">
      <c r="A32" t="s">
        <v>89</v>
      </c>
      <c r="B32" s="4" t="s">
        <v>34</v>
      </c>
      <c r="C32" s="11">
        <v>35992.475</v>
      </c>
      <c r="D32" s="11" t="s">
        <v>172</v>
      </c>
      <c r="E32" s="42">
        <f t="shared" si="0"/>
        <v>1508.4995404676697</v>
      </c>
      <c r="F32" s="33">
        <f t="shared" si="1"/>
        <v>1508.5</v>
      </c>
      <c r="G32" s="33">
        <f t="shared" si="6"/>
        <v>-0.002351499999349471</v>
      </c>
      <c r="H32" s="33">
        <f>+G32</f>
        <v>-0.002351499999349471</v>
      </c>
      <c r="I32" s="33"/>
      <c r="L32" s="33"/>
      <c r="M32" s="33"/>
      <c r="N32" s="33"/>
      <c r="O32" s="33">
        <f t="shared" si="4"/>
        <v>0.0371180463063808</v>
      </c>
      <c r="P32" s="33"/>
      <c r="Q32" s="37">
        <f t="shared" si="5"/>
        <v>20973.975</v>
      </c>
    </row>
    <row r="33" spans="1:17" ht="12.75">
      <c r="A33" t="s">
        <v>89</v>
      </c>
      <c r="B33" s="4" t="s">
        <v>32</v>
      </c>
      <c r="C33" s="11">
        <v>36404.445</v>
      </c>
      <c r="D33" s="11" t="s">
        <v>172</v>
      </c>
      <c r="E33" s="42">
        <f t="shared" si="0"/>
        <v>1589.0071033555926</v>
      </c>
      <c r="F33" s="33">
        <f t="shared" si="1"/>
        <v>1589</v>
      </c>
      <c r="G33" s="33">
        <f t="shared" si="6"/>
        <v>0.036349000001791865</v>
      </c>
      <c r="H33" s="33">
        <f>+G33</f>
        <v>0.036349000001791865</v>
      </c>
      <c r="I33" s="33"/>
      <c r="L33" s="33"/>
      <c r="M33" s="33"/>
      <c r="N33" s="33"/>
      <c r="O33" s="33">
        <f t="shared" si="4"/>
        <v>0.03586015380108444</v>
      </c>
      <c r="P33" s="33"/>
      <c r="Q33" s="37">
        <f t="shared" si="5"/>
        <v>21385.945</v>
      </c>
    </row>
    <row r="34" spans="1:17" ht="12.75">
      <c r="A34" t="s">
        <v>89</v>
      </c>
      <c r="B34" s="4" t="s">
        <v>32</v>
      </c>
      <c r="C34" s="11">
        <v>36675.56</v>
      </c>
      <c r="D34" s="11" t="s">
        <v>172</v>
      </c>
      <c r="E34" s="42">
        <f t="shared" si="0"/>
        <v>1641.9886503428952</v>
      </c>
      <c r="F34" s="33">
        <f t="shared" si="1"/>
        <v>1642</v>
      </c>
      <c r="G34" s="33">
        <f t="shared" si="6"/>
        <v>-0.058078000001842156</v>
      </c>
      <c r="H34" s="33">
        <f>+G34</f>
        <v>-0.058078000001842156</v>
      </c>
      <c r="I34" s="33"/>
      <c r="L34" s="33"/>
      <c r="M34" s="33"/>
      <c r="N34" s="33"/>
      <c r="O34" s="33">
        <f t="shared" si="4"/>
        <v>0.035031976126789946</v>
      </c>
      <c r="P34" s="33"/>
      <c r="Q34" s="37">
        <f t="shared" si="5"/>
        <v>21657.059999999998</v>
      </c>
    </row>
    <row r="35" spans="1:17" ht="12.75">
      <c r="A35" t="s">
        <v>89</v>
      </c>
      <c r="B35" s="4" t="s">
        <v>32</v>
      </c>
      <c r="C35" s="11">
        <v>36757.435</v>
      </c>
      <c r="D35" s="11" t="s">
        <v>172</v>
      </c>
      <c r="E35" s="42">
        <f t="shared" si="0"/>
        <v>1657.9887394548418</v>
      </c>
      <c r="F35" s="33">
        <f t="shared" si="1"/>
        <v>1658</v>
      </c>
      <c r="G35" s="33">
        <f t="shared" si="6"/>
        <v>-0.05762200000026496</v>
      </c>
      <c r="H35" s="33">
        <f>+G35</f>
        <v>-0.05762200000026496</v>
      </c>
      <c r="I35" s="33"/>
      <c r="L35" s="33"/>
      <c r="M35" s="33"/>
      <c r="N35" s="33"/>
      <c r="O35" s="33">
        <f t="shared" si="4"/>
        <v>0.034781960225116135</v>
      </c>
      <c r="P35" s="33"/>
      <c r="Q35" s="37">
        <f t="shared" si="5"/>
        <v>21738.934999999998</v>
      </c>
    </row>
    <row r="36" spans="1:24" ht="12.75">
      <c r="A36" s="40" t="s">
        <v>56</v>
      </c>
      <c r="B36" s="32" t="s">
        <v>32</v>
      </c>
      <c r="C36" s="48">
        <v>41838.85</v>
      </c>
      <c r="D36" s="35" t="s">
        <v>51</v>
      </c>
      <c r="E36" s="33">
        <f t="shared" si="0"/>
        <v>2651.0036135285222</v>
      </c>
      <c r="F36" s="33">
        <f t="shared" si="1"/>
        <v>2651</v>
      </c>
      <c r="G36" s="33">
        <f t="shared" si="6"/>
        <v>0.018491000002541114</v>
      </c>
      <c r="H36" s="33"/>
      <c r="I36" s="33"/>
      <c r="J36" s="33">
        <f>+G36</f>
        <v>0.018491000002541114</v>
      </c>
      <c r="L36" s="33"/>
      <c r="M36" s="33"/>
      <c r="N36" s="33"/>
      <c r="O36" s="33">
        <f t="shared" si="4"/>
        <v>0.01926534832748527</v>
      </c>
      <c r="P36" s="33"/>
      <c r="Q36" s="37">
        <f t="shared" si="5"/>
        <v>26820.35</v>
      </c>
      <c r="S36">
        <f>G36</f>
        <v>0.018491000002541114</v>
      </c>
      <c r="X36" t="s">
        <v>56</v>
      </c>
    </row>
    <row r="37" spans="1:24" ht="12.75">
      <c r="A37" s="40" t="s">
        <v>57</v>
      </c>
      <c r="B37" s="32" t="s">
        <v>32</v>
      </c>
      <c r="C37" s="48">
        <v>43640.0872</v>
      </c>
      <c r="D37" s="35" t="s">
        <v>51</v>
      </c>
      <c r="E37" s="33">
        <f t="shared" si="0"/>
        <v>3003.003072603373</v>
      </c>
      <c r="F37" s="33">
        <f t="shared" si="1"/>
        <v>3003</v>
      </c>
      <c r="G37" s="33">
        <f t="shared" si="6"/>
        <v>0.015723000004072674</v>
      </c>
      <c r="H37" s="33"/>
      <c r="I37" s="33"/>
      <c r="J37" s="33">
        <f>+G37</f>
        <v>0.015723000004072674</v>
      </c>
      <c r="L37" s="33"/>
      <c r="M37" s="33"/>
      <c r="N37" s="33"/>
      <c r="O37" s="33">
        <f t="shared" si="4"/>
        <v>0.013764998490661436</v>
      </c>
      <c r="P37" s="33"/>
      <c r="Q37" s="37">
        <f t="shared" si="5"/>
        <v>28621.5872</v>
      </c>
      <c r="S37">
        <f>G37</f>
        <v>0.015723000004072674</v>
      </c>
      <c r="X37" s="40" t="s">
        <v>57</v>
      </c>
    </row>
    <row r="38" spans="1:19" ht="12.75">
      <c r="A38" s="40" t="s">
        <v>37</v>
      </c>
      <c r="B38" s="41"/>
      <c r="C38" s="49">
        <v>44438.3595</v>
      </c>
      <c r="D38" s="35" t="s">
        <v>51</v>
      </c>
      <c r="E38" s="42">
        <f t="shared" si="0"/>
        <v>3159.002192427478</v>
      </c>
      <c r="F38" s="33">
        <f t="shared" si="1"/>
        <v>3159</v>
      </c>
      <c r="G38" s="33">
        <f t="shared" si="6"/>
        <v>0.01121899999998277</v>
      </c>
      <c r="H38" s="33"/>
      <c r="I38" s="33"/>
      <c r="J38" s="33">
        <f>+G38</f>
        <v>0.01121899999998277</v>
      </c>
      <c r="L38" s="33"/>
      <c r="M38" s="33"/>
      <c r="N38" s="33"/>
      <c r="O38" s="33">
        <f t="shared" si="4"/>
        <v>0.011327343449341783</v>
      </c>
      <c r="P38" s="33"/>
      <c r="Q38" s="37">
        <f t="shared" si="5"/>
        <v>29419.8595</v>
      </c>
      <c r="S38">
        <f>G38</f>
        <v>0.01121899999998277</v>
      </c>
    </row>
    <row r="39" spans="1:24" ht="12.75">
      <c r="A39" s="40" t="s">
        <v>58</v>
      </c>
      <c r="B39" s="41" t="s">
        <v>32</v>
      </c>
      <c r="C39" s="31">
        <v>44438.3616</v>
      </c>
      <c r="D39" s="31" t="s">
        <v>51</v>
      </c>
      <c r="E39" s="42">
        <f t="shared" si="0"/>
        <v>3159.0026028114426</v>
      </c>
      <c r="F39" s="33">
        <f t="shared" si="1"/>
        <v>3159</v>
      </c>
      <c r="G39" s="33">
        <f t="shared" si="6"/>
        <v>0.013318999997864012</v>
      </c>
      <c r="H39" s="33"/>
      <c r="I39" s="33"/>
      <c r="J39" s="33">
        <f>+G39</f>
        <v>0.013318999997864012</v>
      </c>
      <c r="L39" s="33"/>
      <c r="M39" s="33"/>
      <c r="N39" s="33"/>
      <c r="O39" s="33">
        <f t="shared" si="4"/>
        <v>0.011327343449341783</v>
      </c>
      <c r="P39" s="33"/>
      <c r="Q39" s="37">
        <f t="shared" si="5"/>
        <v>29419.861599999997</v>
      </c>
      <c r="X39" s="40" t="s">
        <v>58</v>
      </c>
    </row>
    <row r="40" spans="1:17" ht="12.75">
      <c r="A40" s="40" t="s">
        <v>37</v>
      </c>
      <c r="B40" s="41"/>
      <c r="C40" s="40">
        <v>44438.3637</v>
      </c>
      <c r="D40" s="31"/>
      <c r="E40" s="42">
        <f t="shared" si="0"/>
        <v>3159.0030131954086</v>
      </c>
      <c r="F40" s="33">
        <f t="shared" si="1"/>
        <v>3159</v>
      </c>
      <c r="G40" s="33">
        <f t="shared" si="6"/>
        <v>0.01541900000302121</v>
      </c>
      <c r="H40" s="33"/>
      <c r="I40" s="33"/>
      <c r="K40" s="33">
        <f>+G40</f>
        <v>0.01541900000302121</v>
      </c>
      <c r="L40" s="33"/>
      <c r="M40" s="33"/>
      <c r="N40" s="33"/>
      <c r="O40" s="33">
        <f t="shared" si="4"/>
        <v>0.011327343449341783</v>
      </c>
      <c r="P40" s="33"/>
      <c r="Q40" s="37">
        <f t="shared" si="5"/>
        <v>29419.8637</v>
      </c>
    </row>
    <row r="41" spans="1:17" ht="12.75">
      <c r="A41" s="40" t="s">
        <v>37</v>
      </c>
      <c r="B41" s="41"/>
      <c r="C41" s="40">
        <v>44791.4394</v>
      </c>
      <c r="D41" s="31"/>
      <c r="E41" s="42">
        <f t="shared" si="0"/>
        <v>3228.0013968688495</v>
      </c>
      <c r="F41" s="33">
        <f t="shared" si="1"/>
        <v>3228</v>
      </c>
      <c r="G41" s="33">
        <f t="shared" si="6"/>
        <v>0.007148000004235655</v>
      </c>
      <c r="H41" s="33"/>
      <c r="I41" s="33"/>
      <c r="K41" s="33">
        <f>+G41</f>
        <v>0.007148000004235655</v>
      </c>
      <c r="L41" s="33"/>
      <c r="M41" s="33"/>
      <c r="N41" s="33"/>
      <c r="O41" s="33">
        <f t="shared" si="4"/>
        <v>0.010249149873373477</v>
      </c>
      <c r="P41" s="33"/>
      <c r="Q41" s="37">
        <f t="shared" si="5"/>
        <v>29772.939400000003</v>
      </c>
    </row>
    <row r="42" spans="1:19" ht="12.75">
      <c r="A42" s="40" t="s">
        <v>37</v>
      </c>
      <c r="B42" s="41" t="s">
        <v>32</v>
      </c>
      <c r="C42" s="49">
        <v>44791.4474</v>
      </c>
      <c r="D42" s="40" t="s">
        <v>51</v>
      </c>
      <c r="E42" s="42">
        <f t="shared" si="0"/>
        <v>3228.002960236334</v>
      </c>
      <c r="F42" s="33">
        <f t="shared" si="1"/>
        <v>3228</v>
      </c>
      <c r="G42" s="33">
        <f t="shared" si="6"/>
        <v>0.015147999998589512</v>
      </c>
      <c r="H42" s="33"/>
      <c r="I42" s="33"/>
      <c r="K42" s="33">
        <f>+G42</f>
        <v>0.015147999998589512</v>
      </c>
      <c r="L42" s="33"/>
      <c r="M42" s="33"/>
      <c r="N42" s="33"/>
      <c r="O42" s="33">
        <f t="shared" si="4"/>
        <v>0.010249149873373477</v>
      </c>
      <c r="P42" s="33"/>
      <c r="Q42" s="37">
        <f t="shared" si="5"/>
        <v>29772.947399999997</v>
      </c>
      <c r="S42">
        <f>G42</f>
        <v>0.015147999998589512</v>
      </c>
    </row>
    <row r="43" spans="1:19" ht="12.75">
      <c r="A43" s="42" t="s">
        <v>30</v>
      </c>
      <c r="B43" s="30"/>
      <c r="C43" s="50">
        <v>48685.5835</v>
      </c>
      <c r="D43" s="31">
        <v>0.0012</v>
      </c>
      <c r="E43" s="42">
        <f t="shared" si="0"/>
        <v>3988.998680713263</v>
      </c>
      <c r="F43" s="33">
        <f t="shared" si="1"/>
        <v>3989</v>
      </c>
      <c r="G43" s="33">
        <f t="shared" si="6"/>
        <v>-0.006751000000804197</v>
      </c>
      <c r="H43" s="33"/>
      <c r="J43" s="33">
        <f>+G43</f>
        <v>-0.006751000000804197</v>
      </c>
      <c r="L43" s="33"/>
      <c r="M43" s="33"/>
      <c r="N43" s="33"/>
      <c r="O43" s="33">
        <f t="shared" si="4"/>
        <v>-0.0016422314499871318</v>
      </c>
      <c r="P43" s="33"/>
      <c r="Q43" s="37">
        <f t="shared" si="5"/>
        <v>33667.0835</v>
      </c>
      <c r="S43">
        <f>G43</f>
        <v>-0.006751000000804197</v>
      </c>
    </row>
    <row r="44" spans="1:19" ht="12.75">
      <c r="A44" s="42" t="s">
        <v>35</v>
      </c>
      <c r="B44" s="30" t="s">
        <v>32</v>
      </c>
      <c r="C44" s="50">
        <v>50640.3389</v>
      </c>
      <c r="D44" s="31">
        <v>0.001</v>
      </c>
      <c r="E44" s="42">
        <f t="shared" si="0"/>
        <v>4370.998810081923</v>
      </c>
      <c r="F44" s="33">
        <f t="shared" si="1"/>
        <v>4371</v>
      </c>
      <c r="G44" s="33">
        <f t="shared" si="6"/>
        <v>-0.006088999994972255</v>
      </c>
      <c r="H44" s="33"/>
      <c r="I44" s="33"/>
      <c r="K44" s="33">
        <f>+G44</f>
        <v>-0.006088999994972255</v>
      </c>
      <c r="L44" s="33"/>
      <c r="M44" s="33"/>
      <c r="N44" s="33"/>
      <c r="O44" s="33">
        <f t="shared" si="4"/>
        <v>-0.0076113611024493655</v>
      </c>
      <c r="P44" s="33"/>
      <c r="Q44" s="37">
        <f t="shared" si="5"/>
        <v>35621.8389</v>
      </c>
      <c r="S44">
        <f>G44</f>
        <v>-0.006088999994972255</v>
      </c>
    </row>
    <row r="45" spans="1:19" ht="12.75">
      <c r="A45" s="42" t="s">
        <v>33</v>
      </c>
      <c r="B45" s="30" t="s">
        <v>34</v>
      </c>
      <c r="C45" s="50">
        <v>51993.8053</v>
      </c>
      <c r="D45" s="31">
        <v>0.0011</v>
      </c>
      <c r="E45" s="42">
        <f t="shared" si="0"/>
        <v>4635.494480433382</v>
      </c>
      <c r="F45" s="33">
        <f t="shared" si="1"/>
        <v>4635.5</v>
      </c>
      <c r="G45" s="33">
        <f t="shared" si="6"/>
        <v>-0.028244499997526873</v>
      </c>
      <c r="H45" s="33"/>
      <c r="I45" s="33"/>
      <c r="K45" s="33">
        <f>+G45</f>
        <v>-0.028244499997526873</v>
      </c>
      <c r="L45" s="33"/>
      <c r="M45" s="33"/>
      <c r="N45" s="33"/>
      <c r="O45" s="33">
        <f t="shared" si="4"/>
        <v>-0.011744436476994538</v>
      </c>
      <c r="P45" s="33"/>
      <c r="Q45" s="37">
        <f t="shared" si="5"/>
        <v>36975.3053</v>
      </c>
      <c r="R45" s="36"/>
      <c r="S45">
        <f>G45</f>
        <v>-0.028244499997526873</v>
      </c>
    </row>
    <row r="46" spans="1:17" ht="12.75">
      <c r="A46" t="s">
        <v>120</v>
      </c>
      <c r="B46" s="4" t="s">
        <v>32</v>
      </c>
      <c r="C46" s="11">
        <v>52001.502</v>
      </c>
      <c r="D46" s="11" t="s">
        <v>170</v>
      </c>
      <c r="E46" s="42">
        <f t="shared" si="0"/>
        <v>4636.998576749325</v>
      </c>
      <c r="F46" s="33">
        <f t="shared" si="1"/>
        <v>4637</v>
      </c>
      <c r="G46" s="33">
        <f>+C46-(C$7+F46*C$8)</f>
        <v>-0.007282999999006279</v>
      </c>
      <c r="H46" s="33"/>
      <c r="I46" s="33"/>
      <c r="J46" s="33">
        <f>+G46</f>
        <v>-0.007282999999006279</v>
      </c>
      <c r="L46" s="33"/>
      <c r="M46" s="33"/>
      <c r="N46" s="33"/>
      <c r="O46" s="33">
        <f t="shared" si="4"/>
        <v>-0.011767875467776467</v>
      </c>
      <c r="P46" s="33"/>
      <c r="Q46" s="37">
        <f t="shared" si="5"/>
        <v>36983.002</v>
      </c>
    </row>
    <row r="47" spans="1:19" ht="12.75">
      <c r="A47" s="42" t="s">
        <v>31</v>
      </c>
      <c r="B47" s="30" t="s">
        <v>32</v>
      </c>
      <c r="C47" s="51">
        <v>52011.7312</v>
      </c>
      <c r="D47" s="43">
        <v>0.0009</v>
      </c>
      <c r="E47" s="42">
        <f t="shared" si="0"/>
        <v>4638.997576584977</v>
      </c>
      <c r="F47" s="33">
        <f t="shared" si="1"/>
        <v>4639</v>
      </c>
      <c r="G47" s="33">
        <f>+C47-(C$7+F47*C$8)</f>
        <v>-0.012400999992678408</v>
      </c>
      <c r="H47" s="33"/>
      <c r="I47" s="33"/>
      <c r="K47" s="33">
        <f>+G47</f>
        <v>-0.012400999992678408</v>
      </c>
      <c r="L47" s="33"/>
      <c r="M47" s="33"/>
      <c r="N47" s="33"/>
      <c r="O47" s="33">
        <f t="shared" si="4"/>
        <v>-0.011799127455485683</v>
      </c>
      <c r="P47" s="33"/>
      <c r="Q47" s="37">
        <f t="shared" si="5"/>
        <v>36993.2312</v>
      </c>
      <c r="S47">
        <f>G47</f>
        <v>-0.012400999992678408</v>
      </c>
    </row>
    <row r="48" spans="1:19" ht="12.75">
      <c r="A48" t="s">
        <v>129</v>
      </c>
      <c r="B48" s="4" t="s">
        <v>32</v>
      </c>
      <c r="C48" s="11">
        <v>52395.5234</v>
      </c>
      <c r="D48" s="11" t="s">
        <v>170</v>
      </c>
      <c r="E48" s="42">
        <f t="shared" si="0"/>
        <v>4713.9986074304115</v>
      </c>
      <c r="F48" s="33">
        <f t="shared" si="1"/>
        <v>4714</v>
      </c>
      <c r="G48" s="33">
        <f>+C48-(C$7+F48*C$8)</f>
        <v>-0.007126000004063826</v>
      </c>
      <c r="H48" s="33"/>
      <c r="I48" s="33"/>
      <c r="J48" s="33">
        <f>+G48</f>
        <v>-0.007126000004063826</v>
      </c>
      <c r="L48" s="33"/>
      <c r="M48" s="33"/>
      <c r="N48" s="33"/>
      <c r="O48" s="33">
        <f t="shared" si="4"/>
        <v>-0.012971076994581679</v>
      </c>
      <c r="P48" s="33"/>
      <c r="Q48" s="37">
        <f t="shared" si="5"/>
        <v>37377.0234</v>
      </c>
      <c r="S48">
        <f aca="true" t="shared" si="7" ref="S48:S61">G48</f>
        <v>-0.007126000004063826</v>
      </c>
    </row>
    <row r="49" spans="1:19" ht="12.75">
      <c r="A49" s="31" t="s">
        <v>47</v>
      </c>
      <c r="B49" s="30"/>
      <c r="C49" s="31">
        <v>52743.468</v>
      </c>
      <c r="D49" s="31">
        <v>0.0008</v>
      </c>
      <c r="E49" s="42">
        <f t="shared" si="0"/>
        <v>4781.9942667405885</v>
      </c>
      <c r="F49" s="33">
        <f t="shared" si="1"/>
        <v>4782</v>
      </c>
      <c r="G49" s="33">
        <f>+C49-(C$7+F49*C$8)</f>
        <v>-0.029338000000279862</v>
      </c>
      <c r="H49" s="33"/>
      <c r="I49" s="33"/>
      <c r="K49" s="33">
        <f aca="true" t="shared" si="8" ref="K49:K57">+G49</f>
        <v>-0.029338000000279862</v>
      </c>
      <c r="L49" s="33"/>
      <c r="M49" s="33"/>
      <c r="N49" s="33"/>
      <c r="O49" s="33">
        <f t="shared" si="4"/>
        <v>-0.01403364457669537</v>
      </c>
      <c r="P49" s="33"/>
      <c r="Q49" s="37">
        <f t="shared" si="5"/>
        <v>37724.968</v>
      </c>
      <c r="R49" s="36"/>
      <c r="S49">
        <f t="shared" si="7"/>
        <v>-0.029338000000279862</v>
      </c>
    </row>
    <row r="50" spans="1:19" ht="12.75">
      <c r="A50" s="40" t="s">
        <v>52</v>
      </c>
      <c r="B50" s="41" t="s">
        <v>32</v>
      </c>
      <c r="C50" s="40">
        <v>54974.5574</v>
      </c>
      <c r="D50" s="40">
        <v>0.0012</v>
      </c>
      <c r="E50" s="42">
        <f t="shared" si="0"/>
        <v>5217.9958449600645</v>
      </c>
      <c r="F50" s="33">
        <f t="shared" si="1"/>
        <v>5218</v>
      </c>
      <c r="G50" s="33">
        <f aca="true" t="shared" si="9" ref="G50:G57">+C50-(C$7+F50*C$8)</f>
        <v>-0.02126200000202516</v>
      </c>
      <c r="H50" s="33"/>
      <c r="I50" s="33"/>
      <c r="K50" s="33">
        <f t="shared" si="8"/>
        <v>-0.02126200000202516</v>
      </c>
      <c r="L50" s="33"/>
      <c r="M50" s="33"/>
      <c r="N50" s="33"/>
      <c r="O50" s="33">
        <f t="shared" si="4"/>
        <v>-0.020846577897306706</v>
      </c>
      <c r="P50" s="33"/>
      <c r="Q50" s="37">
        <f t="shared" si="5"/>
        <v>39956.0574</v>
      </c>
      <c r="S50">
        <f t="shared" si="7"/>
        <v>-0.02126200000202516</v>
      </c>
    </row>
    <row r="51" spans="1:19" ht="12.75">
      <c r="A51" s="31" t="s">
        <v>48</v>
      </c>
      <c r="B51" s="30" t="s">
        <v>32</v>
      </c>
      <c r="C51" s="31">
        <v>54984.795</v>
      </c>
      <c r="D51" s="31">
        <v>0.0007</v>
      </c>
      <c r="E51" s="42">
        <f t="shared" si="0"/>
        <v>5219.996486331575</v>
      </c>
      <c r="F51" s="33">
        <f t="shared" si="1"/>
        <v>5220</v>
      </c>
      <c r="G51" s="33">
        <f t="shared" si="9"/>
        <v>-0.017980000004172325</v>
      </c>
      <c r="H51" s="33"/>
      <c r="I51" s="33"/>
      <c r="K51" s="33">
        <f t="shared" si="8"/>
        <v>-0.017980000004172325</v>
      </c>
      <c r="L51" s="33"/>
      <c r="M51" s="33"/>
      <c r="N51" s="33"/>
      <c r="O51" s="33">
        <f t="shared" si="4"/>
        <v>-0.020877829885015936</v>
      </c>
      <c r="P51" s="33"/>
      <c r="Q51" s="37">
        <f t="shared" si="5"/>
        <v>39966.295</v>
      </c>
      <c r="S51">
        <f t="shared" si="7"/>
        <v>-0.017980000004172325</v>
      </c>
    </row>
    <row r="52" spans="1:19" ht="12.75">
      <c r="A52" s="40" t="s">
        <v>53</v>
      </c>
      <c r="B52" s="41" t="s">
        <v>32</v>
      </c>
      <c r="C52" s="40">
        <v>55281.5761</v>
      </c>
      <c r="D52" s="40">
        <v>0.0094</v>
      </c>
      <c r="E52" s="42">
        <f t="shared" si="0"/>
        <v>5277.993726597121</v>
      </c>
      <c r="F52" s="33">
        <f t="shared" si="1"/>
        <v>5278</v>
      </c>
      <c r="G52" s="33">
        <f t="shared" si="9"/>
        <v>-0.03210200000467012</v>
      </c>
      <c r="H52" s="33"/>
      <c r="I52" s="33"/>
      <c r="K52" s="33">
        <f t="shared" si="8"/>
        <v>-0.03210200000467012</v>
      </c>
      <c r="L52" s="33"/>
      <c r="M52" s="33"/>
      <c r="N52" s="33"/>
      <c r="O52" s="33">
        <f t="shared" si="4"/>
        <v>-0.02178413752858349</v>
      </c>
      <c r="P52" s="33"/>
      <c r="Q52" s="37">
        <f t="shared" si="5"/>
        <v>40263.0761</v>
      </c>
      <c r="S52">
        <f t="shared" si="7"/>
        <v>-0.03210200000467012</v>
      </c>
    </row>
    <row r="53" spans="1:19" ht="12.75">
      <c r="A53" s="40" t="s">
        <v>53</v>
      </c>
      <c r="B53" s="41" t="s">
        <v>34</v>
      </c>
      <c r="C53" s="40">
        <v>55294.3963</v>
      </c>
      <c r="D53" s="40">
        <v>0.0078</v>
      </c>
      <c r="E53" s="42">
        <f t="shared" si="0"/>
        <v>5280.49906207722</v>
      </c>
      <c r="F53" s="33">
        <f t="shared" si="1"/>
        <v>5280.5</v>
      </c>
      <c r="G53" s="33">
        <f t="shared" si="9"/>
        <v>-0.0047994999986258335</v>
      </c>
      <c r="H53" s="33"/>
      <c r="I53" s="33"/>
      <c r="K53" s="33">
        <f t="shared" si="8"/>
        <v>-0.0047994999986258335</v>
      </c>
      <c r="L53" s="33"/>
      <c r="M53" s="33"/>
      <c r="N53" s="33"/>
      <c r="O53" s="33">
        <f t="shared" si="4"/>
        <v>-0.021823202513220022</v>
      </c>
      <c r="P53" s="33"/>
      <c r="Q53" s="37">
        <f t="shared" si="5"/>
        <v>40275.8963</v>
      </c>
      <c r="S53">
        <f t="shared" si="7"/>
        <v>-0.0047994999986258335</v>
      </c>
    </row>
    <row r="54" spans="1:19" ht="12.75">
      <c r="A54" s="40" t="s">
        <v>55</v>
      </c>
      <c r="B54" s="41" t="s">
        <v>32</v>
      </c>
      <c r="C54" s="40">
        <v>55629.5479</v>
      </c>
      <c r="D54" s="40">
        <v>0.0076</v>
      </c>
      <c r="E54" s="42">
        <f t="shared" si="0"/>
        <v>5345.994701356749</v>
      </c>
      <c r="F54" s="33">
        <f t="shared" si="1"/>
        <v>5346</v>
      </c>
      <c r="G54" s="33">
        <f t="shared" si="9"/>
        <v>-0.027114000004075933</v>
      </c>
      <c r="H54" s="33"/>
      <c r="I54" s="33"/>
      <c r="K54" s="33">
        <f t="shared" si="8"/>
        <v>-0.027114000004075933</v>
      </c>
      <c r="L54" s="33"/>
      <c r="M54" s="33"/>
      <c r="N54" s="33"/>
      <c r="O54" s="33">
        <f t="shared" si="4"/>
        <v>-0.022846705110697182</v>
      </c>
      <c r="P54" s="33"/>
      <c r="Q54" s="37">
        <f t="shared" si="5"/>
        <v>40611.0479</v>
      </c>
      <c r="S54">
        <f t="shared" si="7"/>
        <v>-0.027114000004075933</v>
      </c>
    </row>
    <row r="55" spans="1:19" ht="12.75">
      <c r="A55" s="40" t="s">
        <v>54</v>
      </c>
      <c r="B55" s="41" t="s">
        <v>32</v>
      </c>
      <c r="C55" s="40">
        <v>55685.8404</v>
      </c>
      <c r="D55" s="40">
        <v>0.0007</v>
      </c>
      <c r="E55" s="42">
        <f t="shared" si="0"/>
        <v>5356.995434380679</v>
      </c>
      <c r="F55" s="33">
        <f t="shared" si="1"/>
        <v>5357</v>
      </c>
      <c r="G55" s="33">
        <f t="shared" si="9"/>
        <v>-0.023363000000244938</v>
      </c>
      <c r="H55" s="33"/>
      <c r="I55" s="33"/>
      <c r="K55" s="33">
        <f t="shared" si="8"/>
        <v>-0.023363000000244938</v>
      </c>
      <c r="L55" s="33"/>
      <c r="M55" s="33"/>
      <c r="N55" s="33"/>
      <c r="O55" s="33">
        <f t="shared" si="4"/>
        <v>-0.023018591043097933</v>
      </c>
      <c r="P55" s="33"/>
      <c r="Q55" s="37">
        <f t="shared" si="5"/>
        <v>40667.3404</v>
      </c>
      <c r="S55">
        <f t="shared" si="7"/>
        <v>-0.023363000000244938</v>
      </c>
    </row>
    <row r="56" spans="1:19" ht="12.75">
      <c r="A56" t="s">
        <v>164</v>
      </c>
      <c r="B56" s="4" t="s">
        <v>34</v>
      </c>
      <c r="C56" s="11">
        <v>55775.3971</v>
      </c>
      <c r="D56" s="11" t="s">
        <v>171</v>
      </c>
      <c r="E56" s="42">
        <f t="shared" si="0"/>
        <v>5374.496688494534</v>
      </c>
      <c r="F56" s="33">
        <f t="shared" si="1"/>
        <v>5374.5</v>
      </c>
      <c r="G56" s="33">
        <f t="shared" si="9"/>
        <v>-0.016945499999565072</v>
      </c>
      <c r="H56" s="33"/>
      <c r="I56" s="33"/>
      <c r="K56" s="33">
        <f t="shared" si="8"/>
        <v>-0.016945499999565072</v>
      </c>
      <c r="L56" s="33"/>
      <c r="M56" s="33"/>
      <c r="N56" s="33"/>
      <c r="O56" s="33">
        <f t="shared" si="4"/>
        <v>-0.02329204593555366</v>
      </c>
      <c r="P56" s="33"/>
      <c r="Q56" s="37">
        <f t="shared" si="5"/>
        <v>40756.8971</v>
      </c>
      <c r="S56">
        <f t="shared" si="7"/>
        <v>-0.016945499999565072</v>
      </c>
    </row>
    <row r="57" spans="1:19" ht="12.75">
      <c r="A57" s="38" t="s">
        <v>59</v>
      </c>
      <c r="B57" s="39" t="s">
        <v>32</v>
      </c>
      <c r="C57" s="38">
        <v>56038.9262</v>
      </c>
      <c r="D57" s="38">
        <v>0.0018</v>
      </c>
      <c r="E57" s="42">
        <f t="shared" si="0"/>
        <v>5425.995791805571</v>
      </c>
      <c r="F57" s="33">
        <f t="shared" si="1"/>
        <v>5426</v>
      </c>
      <c r="G57" s="33">
        <f t="shared" si="9"/>
        <v>-0.021533999999519438</v>
      </c>
      <c r="H57" s="33"/>
      <c r="I57" s="33"/>
      <c r="K57" s="33">
        <f t="shared" si="8"/>
        <v>-0.021533999999519438</v>
      </c>
      <c r="L57" s="33"/>
      <c r="M57" s="33"/>
      <c r="N57" s="33"/>
      <c r="O57" s="33">
        <f t="shared" si="4"/>
        <v>-0.02409678461906624</v>
      </c>
      <c r="P57" s="33"/>
      <c r="Q57" s="37">
        <f t="shared" si="5"/>
        <v>41020.4262</v>
      </c>
      <c r="S57">
        <f t="shared" si="7"/>
        <v>-0.021533999999519438</v>
      </c>
    </row>
    <row r="58" spans="1:19" ht="12.75">
      <c r="A58" s="43" t="s">
        <v>180</v>
      </c>
      <c r="B58" s="54" t="s">
        <v>32</v>
      </c>
      <c r="C58" s="43">
        <v>56783.4682</v>
      </c>
      <c r="D58" s="43">
        <v>0.0212</v>
      </c>
      <c r="E58" s="42">
        <f>+(C58-C$7)/C$8</f>
        <v>5571.494886127244</v>
      </c>
      <c r="F58" s="33">
        <f>ROUND(2*E58,0)/2</f>
        <v>5571.5</v>
      </c>
      <c r="G58" s="33">
        <f>+C58-(C$7+F58*C$8)</f>
        <v>-0.026168500000494532</v>
      </c>
      <c r="H58" s="33"/>
      <c r="I58" s="33"/>
      <c r="K58" s="33">
        <f>+G58</f>
        <v>-0.026168500000494532</v>
      </c>
      <c r="L58" s="33"/>
      <c r="M58" s="33"/>
      <c r="N58" s="33"/>
      <c r="O58" s="33">
        <f>+C$11+C$12*F58</f>
        <v>-0.026370366724912456</v>
      </c>
      <c r="P58" s="33"/>
      <c r="Q58" s="37">
        <f>+C58-15018.5</f>
        <v>41764.9682</v>
      </c>
      <c r="S58">
        <f t="shared" si="7"/>
        <v>-0.026168500000494532</v>
      </c>
    </row>
    <row r="59" spans="1:19" ht="12.75">
      <c r="A59" s="55" t="s">
        <v>181</v>
      </c>
      <c r="B59" s="56" t="s">
        <v>32</v>
      </c>
      <c r="C59" s="57">
        <v>57072.59</v>
      </c>
      <c r="D59" s="57">
        <v>0.01</v>
      </c>
      <c r="E59" s="42">
        <f>+(C59-C$7)/C$8</f>
        <v>5627.995338819841</v>
      </c>
      <c r="F59" s="33">
        <f>ROUND(2*E59,0)/2</f>
        <v>5628</v>
      </c>
      <c r="G59" s="33">
        <f>+C59-(C$7+F59*C$8)</f>
        <v>-0.023851999998441897</v>
      </c>
      <c r="H59" s="33"/>
      <c r="I59" s="33"/>
      <c r="K59" s="33">
        <f>+G59</f>
        <v>-0.023851999998441897</v>
      </c>
      <c r="L59" s="33"/>
      <c r="M59" s="33"/>
      <c r="N59" s="33"/>
      <c r="O59" s="33">
        <f>+C$11+C$12*F59</f>
        <v>-0.027253235377698096</v>
      </c>
      <c r="P59" s="33"/>
      <c r="Q59" s="37">
        <f>+C59-15018.5</f>
        <v>42054.09</v>
      </c>
      <c r="S59">
        <f t="shared" si="7"/>
        <v>-0.023851999998441897</v>
      </c>
    </row>
    <row r="60" spans="1:19" ht="12.75">
      <c r="A60" s="58" t="s">
        <v>1</v>
      </c>
      <c r="B60" s="59" t="s">
        <v>32</v>
      </c>
      <c r="C60" s="60">
        <v>57131.4371</v>
      </c>
      <c r="D60" s="60">
        <v>0.0106</v>
      </c>
      <c r="E60" s="42">
        <f>+(C60-C$7)/C$8</f>
        <v>5639.495294166159</v>
      </c>
      <c r="F60" s="33">
        <f>ROUND(2*E60,0)/2</f>
        <v>5639.5</v>
      </c>
      <c r="G60" s="33">
        <f>+C60-(C$7+F60*C$8)</f>
        <v>-0.024080499999399763</v>
      </c>
      <c r="H60" s="33"/>
      <c r="I60" s="33"/>
      <c r="K60" s="33">
        <f>+G60</f>
        <v>-0.024080499999399763</v>
      </c>
      <c r="L60" s="33"/>
      <c r="M60" s="33"/>
      <c r="N60" s="33"/>
      <c r="O60" s="33">
        <f>+C$11+C$12*F60</f>
        <v>-0.027432934307026147</v>
      </c>
      <c r="P60" s="33"/>
      <c r="Q60" s="37">
        <f>+C60-15018.5</f>
        <v>42112.9371</v>
      </c>
      <c r="S60">
        <f t="shared" si="7"/>
        <v>-0.024080499999399763</v>
      </c>
    </row>
    <row r="61" spans="1:19" ht="12.75">
      <c r="A61" s="61" t="s">
        <v>0</v>
      </c>
      <c r="B61" s="62" t="s">
        <v>32</v>
      </c>
      <c r="C61" s="62">
        <v>57855.5058</v>
      </c>
      <c r="D61" s="62">
        <v>0.0027</v>
      </c>
      <c r="E61" s="42">
        <f>+(C61-C$7)/C$8</f>
        <v>5780.993477044587</v>
      </c>
      <c r="F61" s="33">
        <f>ROUND(2*E61,0)/2</f>
        <v>5781</v>
      </c>
      <c r="G61" s="33">
        <f>+C61-(C$7+F61*C$8)</f>
        <v>-0.03337900000042282</v>
      </c>
      <c r="H61" s="33"/>
      <c r="I61" s="33"/>
      <c r="K61" s="33">
        <f>+G61</f>
        <v>-0.03337900000042282</v>
      </c>
      <c r="L61" s="33"/>
      <c r="M61" s="33"/>
      <c r="N61" s="33"/>
      <c r="O61" s="33">
        <f>+C$11+C$12*F61</f>
        <v>-0.029644012437453918</v>
      </c>
      <c r="P61" s="33"/>
      <c r="Q61" s="37">
        <f>+C61-15018.5</f>
        <v>42837.0058</v>
      </c>
      <c r="S61">
        <f t="shared" si="7"/>
        <v>-0.03337900000042282</v>
      </c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O42"/>
  <sheetViews>
    <sheetView zoomScalePageLayoutView="0" workbookViewId="0" topLeftCell="A1">
      <selection activeCell="A11" sqref="A11:O42"/>
    </sheetView>
  </sheetViews>
  <sheetFormatPr defaultColWidth="9.140625" defaultRowHeight="12.75"/>
  <cols>
    <col min="1" max="1" width="17.57421875" style="0" customWidth="1"/>
    <col min="3" max="3" width="17.57421875" style="0" customWidth="1"/>
    <col min="4" max="4" width="9.00390625" style="0" customWidth="1"/>
    <col min="5" max="5" width="14.7109375" style="0" customWidth="1"/>
    <col min="6" max="9" width="9.00390625" style="0" customWidth="1"/>
    <col min="10" max="10" width="21.57421875" style="0" customWidth="1"/>
    <col min="11" max="11" width="10.57421875" style="0" customWidth="1"/>
    <col min="12" max="12" width="11.421875" style="0" customWidth="1"/>
    <col min="13" max="13" width="7.8515625" style="0" customWidth="1"/>
    <col min="14" max="14" width="9.7109375" style="0" customWidth="1"/>
    <col min="15" max="15" width="22.57421875" style="4" customWidth="1"/>
    <col min="16" max="16" width="17.7109375" style="4" customWidth="1"/>
    <col min="17" max="18" width="36.57421875" style="0" customWidth="1"/>
  </cols>
  <sheetData>
    <row r="11" spans="1:15" ht="12.75" customHeight="1">
      <c r="A11" s="45" t="s">
        <v>63</v>
      </c>
      <c r="B11" s="4" t="s">
        <v>32</v>
      </c>
      <c r="C11" s="44">
        <v>27623.393</v>
      </c>
      <c r="D11" s="45" t="s">
        <v>169</v>
      </c>
      <c r="E11" s="45">
        <f>VLOOKUP(C11,A!C$21:E$40,3,FALSE)</f>
        <v>-126.99429507662329</v>
      </c>
      <c r="F11" s="45"/>
      <c r="G11" s="45"/>
      <c r="H11" s="45"/>
      <c r="I11" s="45"/>
      <c r="J11" s="45" t="s">
        <v>60</v>
      </c>
      <c r="K11" s="44">
        <v>-127</v>
      </c>
      <c r="L11" s="44" t="s">
        <v>61</v>
      </c>
      <c r="N11" s="45"/>
      <c r="O11" s="45" t="s">
        <v>62</v>
      </c>
    </row>
    <row r="12" spans="1:15" ht="12.75" customHeight="1">
      <c r="A12" s="45" t="s">
        <v>63</v>
      </c>
      <c r="B12" s="4" t="s">
        <v>32</v>
      </c>
      <c r="C12" s="44">
        <v>27628.504</v>
      </c>
      <c r="D12" s="45" t="s">
        <v>169</v>
      </c>
      <c r="E12" s="45">
        <f>VLOOKUP(C12,A!C$21:E$40,3,FALSE)</f>
        <v>-125.99549867416623</v>
      </c>
      <c r="F12" s="45"/>
      <c r="G12" s="45"/>
      <c r="H12" s="45"/>
      <c r="I12" s="45"/>
      <c r="J12" s="45" t="s">
        <v>64</v>
      </c>
      <c r="K12" s="44">
        <v>-126</v>
      </c>
      <c r="L12" s="44" t="s">
        <v>65</v>
      </c>
      <c r="N12" s="45"/>
      <c r="O12" s="45" t="s">
        <v>62</v>
      </c>
    </row>
    <row r="13" spans="1:15" ht="12.75" customHeight="1">
      <c r="A13" s="45" t="s">
        <v>68</v>
      </c>
      <c r="B13" s="4" t="s">
        <v>32</v>
      </c>
      <c r="C13" s="44">
        <v>27659.221</v>
      </c>
      <c r="D13" s="45" t="s">
        <v>169</v>
      </c>
      <c r="E13" s="45">
        <f>VLOOKUP(C13,A!C$21:E$40,3,FALSE)</f>
        <v>-119.99275379170301</v>
      </c>
      <c r="F13" s="45"/>
      <c r="G13" s="45"/>
      <c r="H13" s="45"/>
      <c r="I13" s="45"/>
      <c r="J13" s="45" t="s">
        <v>66</v>
      </c>
      <c r="K13" s="44">
        <v>-120</v>
      </c>
      <c r="L13" s="44" t="s">
        <v>67</v>
      </c>
      <c r="N13" s="45"/>
      <c r="O13" s="45" t="s">
        <v>62</v>
      </c>
    </row>
    <row r="14" spans="1:15" ht="12.75" customHeight="1">
      <c r="A14" s="45" t="s">
        <v>68</v>
      </c>
      <c r="B14" s="4" t="s">
        <v>32</v>
      </c>
      <c r="C14" s="44">
        <v>27710.369</v>
      </c>
      <c r="D14" s="45" t="s">
        <v>169</v>
      </c>
      <c r="E14" s="45">
        <f>VLOOKUP(C14,A!C$21:E$40,3,FALSE)</f>
        <v>-109.99736377157711</v>
      </c>
      <c r="F14" s="45"/>
      <c r="G14" s="45"/>
      <c r="H14" s="45"/>
      <c r="I14" s="45"/>
      <c r="J14" s="45" t="s">
        <v>69</v>
      </c>
      <c r="K14" s="44">
        <v>-110</v>
      </c>
      <c r="L14" s="44" t="s">
        <v>70</v>
      </c>
      <c r="N14" s="45"/>
      <c r="O14" s="45" t="s">
        <v>62</v>
      </c>
    </row>
    <row r="15" spans="1:15" ht="12.75" customHeight="1">
      <c r="A15" s="45" t="s">
        <v>68</v>
      </c>
      <c r="B15" s="4" t="s">
        <v>32</v>
      </c>
      <c r="C15" s="44">
        <v>27966.219</v>
      </c>
      <c r="D15" s="45" t="s">
        <v>169</v>
      </c>
      <c r="E15" s="45">
        <f>VLOOKUP(C15,A!C$21:E$40,3,FALSE)</f>
        <v>-59.998917368015654</v>
      </c>
      <c r="F15" s="45"/>
      <c r="G15" s="45"/>
      <c r="H15" s="45"/>
      <c r="I15" s="45"/>
      <c r="J15" s="45" t="s">
        <v>71</v>
      </c>
      <c r="K15" s="44">
        <v>-60</v>
      </c>
      <c r="L15" s="44" t="s">
        <v>72</v>
      </c>
      <c r="N15" s="45"/>
      <c r="O15" s="45" t="s">
        <v>62</v>
      </c>
    </row>
    <row r="16" spans="1:15" ht="12.75" customHeight="1">
      <c r="A16" s="45" t="s">
        <v>68</v>
      </c>
      <c r="B16" s="4" t="s">
        <v>32</v>
      </c>
      <c r="C16" s="44">
        <v>27976.48</v>
      </c>
      <c r="D16" s="45" t="s">
        <v>169</v>
      </c>
      <c r="E16" s="45">
        <f>VLOOKUP(C16,A!C$21:E$40,3,FALSE)</f>
        <v>-57.993703146609086</v>
      </c>
      <c r="F16" s="45"/>
      <c r="G16" s="45"/>
      <c r="H16" s="45"/>
      <c r="I16" s="45"/>
      <c r="J16" s="45" t="s">
        <v>73</v>
      </c>
      <c r="K16" s="44">
        <v>-58</v>
      </c>
      <c r="L16" s="44" t="s">
        <v>74</v>
      </c>
      <c r="N16" s="45"/>
      <c r="O16" s="45" t="s">
        <v>62</v>
      </c>
    </row>
    <row r="17" spans="1:15" ht="12.75" customHeight="1">
      <c r="A17" s="45" t="s">
        <v>68</v>
      </c>
      <c r="B17" s="4" t="s">
        <v>32</v>
      </c>
      <c r="C17" s="44">
        <v>28022.494</v>
      </c>
      <c r="D17" s="45" t="s">
        <v>169</v>
      </c>
      <c r="E17" s="45">
        <f>VLOOKUP(C17,A!C$21:E$40,3,FALSE)</f>
        <v>-49.001604210461274</v>
      </c>
      <c r="F17" s="45"/>
      <c r="G17" s="45"/>
      <c r="H17" s="45"/>
      <c r="I17" s="45"/>
      <c r="J17" s="45" t="s">
        <v>75</v>
      </c>
      <c r="K17" s="44">
        <v>-49</v>
      </c>
      <c r="L17" s="44" t="s">
        <v>76</v>
      </c>
      <c r="N17" s="45"/>
      <c r="O17" s="45" t="s">
        <v>62</v>
      </c>
    </row>
    <row r="18" spans="1:15" ht="12.75" customHeight="1">
      <c r="A18" s="45" t="s">
        <v>68</v>
      </c>
      <c r="B18" s="4" t="s">
        <v>32</v>
      </c>
      <c r="C18" s="44">
        <v>28068.492</v>
      </c>
      <c r="D18" s="45" t="s">
        <v>169</v>
      </c>
      <c r="E18" s="45">
        <f>VLOOKUP(C18,A!C$21:E$40,3,FALSE)</f>
        <v>-40.01263200928488</v>
      </c>
      <c r="F18" s="45"/>
      <c r="G18" s="45"/>
      <c r="H18" s="45"/>
      <c r="I18" s="45"/>
      <c r="J18" s="45" t="s">
        <v>77</v>
      </c>
      <c r="K18" s="44">
        <v>-40</v>
      </c>
      <c r="L18" s="44" t="s">
        <v>78</v>
      </c>
      <c r="N18" s="45"/>
      <c r="O18" s="45" t="s">
        <v>62</v>
      </c>
    </row>
    <row r="19" spans="1:15" ht="12.75" customHeight="1">
      <c r="A19" s="45" t="s">
        <v>68</v>
      </c>
      <c r="B19" s="4" t="s">
        <v>32</v>
      </c>
      <c r="C19" s="44">
        <v>28109.416</v>
      </c>
      <c r="D19" s="45" t="s">
        <v>169</v>
      </c>
      <c r="E19" s="45">
        <f>VLOOKUP(C19,A!C$21:E$40,3,FALSE)</f>
        <v>-32.0152256359432</v>
      </c>
      <c r="F19" s="45"/>
      <c r="G19" s="45"/>
      <c r="H19" s="45"/>
      <c r="I19" s="45"/>
      <c r="J19" s="45" t="s">
        <v>79</v>
      </c>
      <c r="K19" s="44">
        <v>-32</v>
      </c>
      <c r="L19" s="44" t="s">
        <v>80</v>
      </c>
      <c r="N19" s="45"/>
      <c r="O19" s="45" t="s">
        <v>62</v>
      </c>
    </row>
    <row r="20" spans="1:15" ht="12.75" customHeight="1">
      <c r="A20" s="45" t="s">
        <v>84</v>
      </c>
      <c r="B20" s="4" t="s">
        <v>32</v>
      </c>
      <c r="C20" s="44">
        <v>28273.281</v>
      </c>
      <c r="D20" s="45" t="s">
        <v>169</v>
      </c>
      <c r="E20" s="45">
        <f>VLOOKUP(C20,A!C$21:E$40,3,FALSE)</f>
        <v>0.007425995557391448</v>
      </c>
      <c r="F20" s="45"/>
      <c r="G20" s="45"/>
      <c r="H20" s="45"/>
      <c r="I20" s="45"/>
      <c r="J20" s="45" t="s">
        <v>81</v>
      </c>
      <c r="K20" s="44">
        <v>0</v>
      </c>
      <c r="L20" s="44" t="s">
        <v>82</v>
      </c>
      <c r="N20" s="45"/>
      <c r="O20" s="45" t="s">
        <v>83</v>
      </c>
    </row>
    <row r="21" spans="1:15" ht="12.75" customHeight="1">
      <c r="A21" s="45" t="s">
        <v>89</v>
      </c>
      <c r="B21" s="4" t="s">
        <v>34</v>
      </c>
      <c r="C21" s="44">
        <v>35992.475</v>
      </c>
      <c r="D21" s="45" t="s">
        <v>87</v>
      </c>
      <c r="E21" s="45">
        <f>VLOOKUP(C21,A!C$21:E$40,3,FALSE)</f>
        <v>1508.4995404676697</v>
      </c>
      <c r="F21" s="45"/>
      <c r="G21" s="45"/>
      <c r="H21" s="45"/>
      <c r="I21" s="45"/>
      <c r="J21" s="45" t="s">
        <v>85</v>
      </c>
      <c r="K21" s="44">
        <v>1508.5</v>
      </c>
      <c r="L21" s="44" t="s">
        <v>86</v>
      </c>
      <c r="N21" s="45"/>
      <c r="O21" s="45" t="s">
        <v>88</v>
      </c>
    </row>
    <row r="22" spans="1:15" ht="12.75" customHeight="1">
      <c r="A22" s="45" t="s">
        <v>89</v>
      </c>
      <c r="B22" s="4" t="s">
        <v>32</v>
      </c>
      <c r="C22" s="44">
        <v>36404.445</v>
      </c>
      <c r="D22" s="45" t="s">
        <v>87</v>
      </c>
      <c r="E22" s="45">
        <f>VLOOKUP(C22,A!C$21:E$40,3,FALSE)</f>
        <v>1589.0071033555926</v>
      </c>
      <c r="F22" s="45"/>
      <c r="G22" s="45"/>
      <c r="H22" s="45"/>
      <c r="I22" s="45"/>
      <c r="J22" s="45" t="s">
        <v>90</v>
      </c>
      <c r="K22" s="44">
        <v>1589</v>
      </c>
      <c r="L22" s="44" t="s">
        <v>91</v>
      </c>
      <c r="N22" s="45"/>
      <c r="O22" s="45" t="s">
        <v>88</v>
      </c>
    </row>
    <row r="23" spans="1:15" ht="12.75" customHeight="1">
      <c r="A23" s="45" t="s">
        <v>89</v>
      </c>
      <c r="B23" s="4" t="s">
        <v>32</v>
      </c>
      <c r="C23" s="44">
        <v>36675.56</v>
      </c>
      <c r="D23" s="45" t="s">
        <v>87</v>
      </c>
      <c r="E23" s="45">
        <f>VLOOKUP(C23,A!C$21:E$40,3,FALSE)</f>
        <v>1641.9886503428952</v>
      </c>
      <c r="F23" s="45"/>
      <c r="G23" s="45"/>
      <c r="H23" s="45"/>
      <c r="I23" s="45"/>
      <c r="J23" s="45" t="s">
        <v>92</v>
      </c>
      <c r="K23" s="44">
        <v>1642</v>
      </c>
      <c r="L23" s="44" t="s">
        <v>93</v>
      </c>
      <c r="N23" s="45"/>
      <c r="O23" s="45" t="s">
        <v>88</v>
      </c>
    </row>
    <row r="24" spans="1:15" ht="12.75" customHeight="1">
      <c r="A24" s="45" t="s">
        <v>89</v>
      </c>
      <c r="B24" s="4" t="s">
        <v>32</v>
      </c>
      <c r="C24" s="44">
        <v>36757.435</v>
      </c>
      <c r="D24" s="45" t="s">
        <v>87</v>
      </c>
      <c r="E24" s="45">
        <f>VLOOKUP(C24,A!C$21:E$40,3,FALSE)</f>
        <v>1657.9887394548418</v>
      </c>
      <c r="F24" s="45"/>
      <c r="G24" s="45"/>
      <c r="H24" s="45"/>
      <c r="I24" s="45"/>
      <c r="J24" s="45" t="s">
        <v>94</v>
      </c>
      <c r="K24" s="44">
        <v>1658</v>
      </c>
      <c r="L24" s="44" t="s">
        <v>93</v>
      </c>
      <c r="N24" s="45"/>
      <c r="O24" s="45" t="s">
        <v>88</v>
      </c>
    </row>
    <row r="25" spans="1:15" ht="12.75" customHeight="1">
      <c r="A25" s="45" t="s">
        <v>99</v>
      </c>
      <c r="B25" s="4" t="s">
        <v>32</v>
      </c>
      <c r="C25" s="44">
        <v>41838.85</v>
      </c>
      <c r="D25" s="45" t="s">
        <v>170</v>
      </c>
      <c r="E25" s="45">
        <f>VLOOKUP(C25,A!C$21:E$40,3,FALSE)</f>
        <v>2651.0036135285222</v>
      </c>
      <c r="F25" s="45"/>
      <c r="G25" s="45"/>
      <c r="H25" s="45"/>
      <c r="I25" s="45"/>
      <c r="J25" s="45" t="s">
        <v>95</v>
      </c>
      <c r="K25" s="44">
        <v>2651</v>
      </c>
      <c r="L25" s="44" t="s">
        <v>96</v>
      </c>
      <c r="N25" s="45" t="s">
        <v>97</v>
      </c>
      <c r="O25" s="45" t="s">
        <v>98</v>
      </c>
    </row>
    <row r="26" spans="1:15" ht="12.75" customHeight="1">
      <c r="A26" s="46" t="s">
        <v>103</v>
      </c>
      <c r="B26" s="4" t="s">
        <v>32</v>
      </c>
      <c r="C26" s="44">
        <v>44438.3637</v>
      </c>
      <c r="D26" s="45" t="s">
        <v>170</v>
      </c>
      <c r="E26" s="45">
        <f>VLOOKUP(C26,A!C$21:E$40,3,FALSE)</f>
        <v>3159.0030131954086</v>
      </c>
      <c r="F26" s="45"/>
      <c r="G26" s="45"/>
      <c r="H26" s="45"/>
      <c r="I26" s="45"/>
      <c r="J26" s="45" t="s">
        <v>100</v>
      </c>
      <c r="K26" s="44">
        <v>3159</v>
      </c>
      <c r="L26" s="44" t="s">
        <v>101</v>
      </c>
      <c r="N26" s="45" t="s">
        <v>97</v>
      </c>
      <c r="O26" s="45" t="s">
        <v>102</v>
      </c>
    </row>
    <row r="27" spans="1:15" ht="12.75" customHeight="1">
      <c r="A27" s="46" t="s">
        <v>103</v>
      </c>
      <c r="B27" s="4" t="s">
        <v>32</v>
      </c>
      <c r="C27" s="44">
        <v>44791.4474</v>
      </c>
      <c r="D27" s="45" t="s">
        <v>170</v>
      </c>
      <c r="E27" s="45" t="e">
        <f>VLOOKUP(C27,A!C$21:E$40,3,FALSE)</f>
        <v>#N/A</v>
      </c>
      <c r="F27" s="45"/>
      <c r="G27" s="45"/>
      <c r="H27" s="45"/>
      <c r="I27" s="45"/>
      <c r="J27" s="45" t="s">
        <v>104</v>
      </c>
      <c r="K27" s="44">
        <v>3228</v>
      </c>
      <c r="L27" s="44" t="s">
        <v>105</v>
      </c>
      <c r="N27" s="45" t="s">
        <v>97</v>
      </c>
      <c r="O27" s="45" t="s">
        <v>106</v>
      </c>
    </row>
    <row r="28" spans="1:15" ht="12.75" customHeight="1">
      <c r="A28" s="45" t="s">
        <v>110</v>
      </c>
      <c r="B28" s="4" t="s">
        <v>32</v>
      </c>
      <c r="C28" s="44">
        <v>48685.5835</v>
      </c>
      <c r="D28" s="45" t="s">
        <v>170</v>
      </c>
      <c r="E28" s="45" t="e">
        <f>VLOOKUP(C28,A!C$21:E$40,3,FALSE)</f>
        <v>#N/A</v>
      </c>
      <c r="F28" s="45"/>
      <c r="G28" s="45"/>
      <c r="H28" s="45"/>
      <c r="I28" s="45"/>
      <c r="J28" s="45" t="s">
        <v>107</v>
      </c>
      <c r="K28" s="44">
        <v>3989</v>
      </c>
      <c r="L28" s="44" t="s">
        <v>108</v>
      </c>
      <c r="N28" s="45" t="s">
        <v>97</v>
      </c>
      <c r="O28" s="45" t="s">
        <v>109</v>
      </c>
    </row>
    <row r="29" spans="1:15" ht="12.75" customHeight="1">
      <c r="A29" s="46" t="s">
        <v>114</v>
      </c>
      <c r="B29" s="4" t="s">
        <v>32</v>
      </c>
      <c r="C29" s="44">
        <v>50640.3389</v>
      </c>
      <c r="D29" s="45" t="s">
        <v>170</v>
      </c>
      <c r="E29" s="45" t="e">
        <f>VLOOKUP(C29,A!C$21:E$40,3,FALSE)</f>
        <v>#N/A</v>
      </c>
      <c r="F29" s="45"/>
      <c r="G29" s="45"/>
      <c r="H29" s="45"/>
      <c r="I29" s="45"/>
      <c r="J29" s="45" t="s">
        <v>111</v>
      </c>
      <c r="K29" s="44">
        <v>4371</v>
      </c>
      <c r="L29" s="44" t="s">
        <v>112</v>
      </c>
      <c r="N29" s="45" t="s">
        <v>97</v>
      </c>
      <c r="O29" s="45" t="s">
        <v>113</v>
      </c>
    </row>
    <row r="30" spans="1:15" ht="12.75" customHeight="1">
      <c r="A30" s="46" t="s">
        <v>117</v>
      </c>
      <c r="B30" s="4" t="s">
        <v>34</v>
      </c>
      <c r="C30" s="44">
        <v>51993.8053</v>
      </c>
      <c r="D30" s="45" t="s">
        <v>170</v>
      </c>
      <c r="E30" s="45" t="e">
        <f>VLOOKUP(C30,A!C$21:E$40,3,FALSE)</f>
        <v>#N/A</v>
      </c>
      <c r="F30" s="45"/>
      <c r="G30" s="45"/>
      <c r="H30" s="45"/>
      <c r="I30" s="45"/>
      <c r="J30" s="45" t="s">
        <v>115</v>
      </c>
      <c r="K30" s="44">
        <v>4635.5</v>
      </c>
      <c r="L30" s="44" t="s">
        <v>116</v>
      </c>
      <c r="N30" s="45" t="s">
        <v>97</v>
      </c>
      <c r="O30" s="45" t="s">
        <v>113</v>
      </c>
    </row>
    <row r="31" spans="1:15" ht="12.75" customHeight="1">
      <c r="A31" s="45" t="s">
        <v>120</v>
      </c>
      <c r="B31" s="4" t="s">
        <v>32</v>
      </c>
      <c r="C31" s="44">
        <v>52001.502</v>
      </c>
      <c r="D31" s="45" t="s">
        <v>170</v>
      </c>
      <c r="E31" s="45" t="e">
        <f>VLOOKUP(C31,A!C$21:E$40,3,FALSE)</f>
        <v>#N/A</v>
      </c>
      <c r="F31" s="45"/>
      <c r="G31" s="45"/>
      <c r="H31" s="45"/>
      <c r="I31" s="45"/>
      <c r="J31" s="45" t="s">
        <v>118</v>
      </c>
      <c r="K31" s="44">
        <v>4637</v>
      </c>
      <c r="L31" s="44" t="s">
        <v>119</v>
      </c>
      <c r="N31" s="45" t="s">
        <v>97</v>
      </c>
      <c r="O31" s="45" t="s">
        <v>109</v>
      </c>
    </row>
    <row r="32" spans="1:15" ht="12.75" customHeight="1">
      <c r="A32" s="46" t="s">
        <v>125</v>
      </c>
      <c r="B32" s="4" t="s">
        <v>32</v>
      </c>
      <c r="C32" s="44">
        <v>52011.7312</v>
      </c>
      <c r="D32" s="45" t="s">
        <v>170</v>
      </c>
      <c r="E32" s="45" t="e">
        <f>VLOOKUP(C32,A!C$21:E$40,3,FALSE)</f>
        <v>#N/A</v>
      </c>
      <c r="F32" s="45"/>
      <c r="G32" s="45"/>
      <c r="H32" s="45"/>
      <c r="I32" s="45"/>
      <c r="J32" s="45" t="s">
        <v>121</v>
      </c>
      <c r="K32" s="44">
        <v>4639</v>
      </c>
      <c r="L32" s="44" t="s">
        <v>122</v>
      </c>
      <c r="N32" s="45" t="s">
        <v>123</v>
      </c>
      <c r="O32" s="45" t="s">
        <v>124</v>
      </c>
    </row>
    <row r="33" spans="1:15" ht="12.75" customHeight="1">
      <c r="A33" s="45" t="s">
        <v>129</v>
      </c>
      <c r="B33" s="4" t="s">
        <v>32</v>
      </c>
      <c r="C33" s="44">
        <v>52395.5234</v>
      </c>
      <c r="D33" s="45" t="s">
        <v>170</v>
      </c>
      <c r="E33" s="45" t="e">
        <f>VLOOKUP(C33,A!C$21:E$40,3,FALSE)</f>
        <v>#N/A</v>
      </c>
      <c r="F33" s="45"/>
      <c r="G33" s="45"/>
      <c r="H33" s="45"/>
      <c r="I33" s="45"/>
      <c r="J33" s="45" t="s">
        <v>126</v>
      </c>
      <c r="K33" s="44">
        <v>4714</v>
      </c>
      <c r="L33" s="44" t="s">
        <v>127</v>
      </c>
      <c r="N33" s="45" t="s">
        <v>97</v>
      </c>
      <c r="O33" s="45" t="s">
        <v>128</v>
      </c>
    </row>
    <row r="34" spans="1:15" ht="12.75" customHeight="1">
      <c r="A34" s="46" t="s">
        <v>134</v>
      </c>
      <c r="B34" s="4" t="s">
        <v>32</v>
      </c>
      <c r="C34" s="44">
        <v>52743.468</v>
      </c>
      <c r="D34" s="45" t="s">
        <v>170</v>
      </c>
      <c r="E34" s="45" t="e">
        <f>VLOOKUP(C34,A!C$21:E$40,3,FALSE)</f>
        <v>#N/A</v>
      </c>
      <c r="F34" s="45"/>
      <c r="G34" s="45"/>
      <c r="H34" s="45"/>
      <c r="I34" s="45"/>
      <c r="J34" s="45" t="s">
        <v>130</v>
      </c>
      <c r="K34" s="44">
        <v>4782</v>
      </c>
      <c r="L34" s="44" t="s">
        <v>131</v>
      </c>
      <c r="N34" s="45" t="s">
        <v>132</v>
      </c>
      <c r="O34" s="45" t="s">
        <v>133</v>
      </c>
    </row>
    <row r="35" spans="1:15" ht="12.75" customHeight="1">
      <c r="A35" s="46" t="s">
        <v>139</v>
      </c>
      <c r="B35" s="4" t="s">
        <v>34</v>
      </c>
      <c r="C35" s="44">
        <v>54974.5574</v>
      </c>
      <c r="D35" s="45" t="s">
        <v>171</v>
      </c>
      <c r="E35" s="45" t="e">
        <f>VLOOKUP(C35,A!C$21:E$40,3,FALSE)</f>
        <v>#N/A</v>
      </c>
      <c r="F35" s="45"/>
      <c r="G35" s="45"/>
      <c r="H35" s="45"/>
      <c r="I35" s="45"/>
      <c r="J35" s="45" t="s">
        <v>135</v>
      </c>
      <c r="K35" s="44" t="s">
        <v>136</v>
      </c>
      <c r="L35" s="44" t="s">
        <v>137</v>
      </c>
      <c r="N35" s="45" t="s">
        <v>132</v>
      </c>
      <c r="O35" s="45" t="s">
        <v>138</v>
      </c>
    </row>
    <row r="36" spans="1:15" ht="12.75" customHeight="1">
      <c r="A36" s="46" t="s">
        <v>144</v>
      </c>
      <c r="B36" s="4" t="s">
        <v>34</v>
      </c>
      <c r="C36" s="44">
        <v>54984.795</v>
      </c>
      <c r="D36" s="45" t="s">
        <v>171</v>
      </c>
      <c r="E36" s="45" t="e">
        <f>VLOOKUP(C36,A!C$21:E$40,3,FALSE)</f>
        <v>#N/A</v>
      </c>
      <c r="F36" s="45"/>
      <c r="G36" s="45"/>
      <c r="H36" s="45"/>
      <c r="I36" s="45"/>
      <c r="J36" s="45" t="s">
        <v>140</v>
      </c>
      <c r="K36" s="44" t="s">
        <v>141</v>
      </c>
      <c r="L36" s="44" t="s">
        <v>142</v>
      </c>
      <c r="N36" s="45" t="s">
        <v>143</v>
      </c>
      <c r="O36" s="45" t="s">
        <v>109</v>
      </c>
    </row>
    <row r="37" spans="1:15" ht="12.75" customHeight="1">
      <c r="A37" s="46" t="s">
        <v>149</v>
      </c>
      <c r="B37" s="4" t="s">
        <v>34</v>
      </c>
      <c r="C37" s="44">
        <v>55281.5761</v>
      </c>
      <c r="D37" s="45" t="s">
        <v>171</v>
      </c>
      <c r="E37" s="45" t="e">
        <f>VLOOKUP(C37,A!C$21:E$40,3,FALSE)</f>
        <v>#N/A</v>
      </c>
      <c r="F37" s="45"/>
      <c r="G37" s="45"/>
      <c r="H37" s="45"/>
      <c r="I37" s="45"/>
      <c r="J37" s="45" t="s">
        <v>145</v>
      </c>
      <c r="K37" s="44" t="s">
        <v>146</v>
      </c>
      <c r="L37" s="44" t="s">
        <v>147</v>
      </c>
      <c r="N37" s="45" t="s">
        <v>143</v>
      </c>
      <c r="O37" s="45" t="s">
        <v>148</v>
      </c>
    </row>
    <row r="38" spans="1:15" ht="12.75" customHeight="1">
      <c r="A38" s="46" t="s">
        <v>149</v>
      </c>
      <c r="B38" s="4" t="s">
        <v>34</v>
      </c>
      <c r="C38" s="44">
        <v>55294.3963</v>
      </c>
      <c r="D38" s="45" t="s">
        <v>171</v>
      </c>
      <c r="E38" s="45" t="e">
        <f>VLOOKUP(C38,A!C$21:E$40,3,FALSE)</f>
        <v>#N/A</v>
      </c>
      <c r="F38" s="45"/>
      <c r="G38" s="45"/>
      <c r="H38" s="45"/>
      <c r="I38" s="45"/>
      <c r="J38" s="45" t="s">
        <v>150</v>
      </c>
      <c r="K38" s="44" t="s">
        <v>151</v>
      </c>
      <c r="L38" s="44" t="s">
        <v>152</v>
      </c>
      <c r="N38" s="45" t="s">
        <v>132</v>
      </c>
      <c r="O38" s="45" t="s">
        <v>138</v>
      </c>
    </row>
    <row r="39" spans="1:15" ht="12.75" customHeight="1">
      <c r="A39" s="46" t="s">
        <v>156</v>
      </c>
      <c r="B39" s="4" t="s">
        <v>34</v>
      </c>
      <c r="C39" s="44">
        <v>55629.5479</v>
      </c>
      <c r="D39" s="45" t="s">
        <v>171</v>
      </c>
      <c r="E39" s="45" t="e">
        <f>VLOOKUP(C39,A!C$21:E$40,3,FALSE)</f>
        <v>#N/A</v>
      </c>
      <c r="F39" s="45"/>
      <c r="G39" s="45"/>
      <c r="H39" s="45"/>
      <c r="I39" s="45"/>
      <c r="J39" s="45" t="s">
        <v>153</v>
      </c>
      <c r="K39" s="44" t="s">
        <v>154</v>
      </c>
      <c r="L39" s="44" t="s">
        <v>155</v>
      </c>
      <c r="N39" s="45" t="s">
        <v>132</v>
      </c>
      <c r="O39" s="45" t="s">
        <v>148</v>
      </c>
    </row>
    <row r="40" spans="1:15" ht="12.75" customHeight="1">
      <c r="A40" s="46" t="s">
        <v>160</v>
      </c>
      <c r="B40" s="4" t="s">
        <v>34</v>
      </c>
      <c r="C40" s="44">
        <v>55685.8404</v>
      </c>
      <c r="D40" s="45" t="s">
        <v>171</v>
      </c>
      <c r="E40" s="45" t="e">
        <f>VLOOKUP(C40,A!C$21:E$40,3,FALSE)</f>
        <v>#N/A</v>
      </c>
      <c r="F40" s="45"/>
      <c r="G40" s="45"/>
      <c r="H40" s="45"/>
      <c r="I40" s="45"/>
      <c r="J40" s="45" t="s">
        <v>157</v>
      </c>
      <c r="K40" s="44" t="s">
        <v>158</v>
      </c>
      <c r="L40" s="44" t="s">
        <v>159</v>
      </c>
      <c r="N40" s="45" t="s">
        <v>143</v>
      </c>
      <c r="O40" s="45" t="s">
        <v>109</v>
      </c>
    </row>
    <row r="41" spans="1:15" ht="12.75" customHeight="1">
      <c r="A41" s="46" t="s">
        <v>164</v>
      </c>
      <c r="B41" s="4" t="s">
        <v>34</v>
      </c>
      <c r="C41" s="44">
        <v>55775.3971</v>
      </c>
      <c r="D41" s="45" t="s">
        <v>171</v>
      </c>
      <c r="E41" s="45" t="e">
        <f>VLOOKUP(C41,A!C$21:E$40,3,FALSE)</f>
        <v>#N/A</v>
      </c>
      <c r="F41" s="45"/>
      <c r="G41" s="45"/>
      <c r="H41" s="45"/>
      <c r="I41" s="45"/>
      <c r="J41" s="45" t="s">
        <v>161</v>
      </c>
      <c r="K41" s="44" t="s">
        <v>162</v>
      </c>
      <c r="L41" s="44" t="s">
        <v>163</v>
      </c>
      <c r="N41" s="45" t="s">
        <v>143</v>
      </c>
      <c r="O41" s="45" t="s">
        <v>138</v>
      </c>
    </row>
    <row r="42" spans="1:15" ht="12.75" customHeight="1">
      <c r="A42" s="46" t="s">
        <v>168</v>
      </c>
      <c r="B42" s="4" t="s">
        <v>34</v>
      </c>
      <c r="C42" s="44">
        <v>56038.9262</v>
      </c>
      <c r="D42" s="45" t="s">
        <v>171</v>
      </c>
      <c r="E42" s="45" t="e">
        <f>VLOOKUP(C42,A!C$21:E$40,3,FALSE)</f>
        <v>#N/A</v>
      </c>
      <c r="F42" s="45"/>
      <c r="G42" s="45"/>
      <c r="H42" s="45"/>
      <c r="I42" s="45"/>
      <c r="J42" s="45" t="s">
        <v>165</v>
      </c>
      <c r="K42" s="44" t="s">
        <v>166</v>
      </c>
      <c r="L42" s="44" t="s">
        <v>167</v>
      </c>
      <c r="N42" s="45" t="s">
        <v>143</v>
      </c>
      <c r="O42" s="45" t="s">
        <v>109</v>
      </c>
    </row>
  </sheetData>
  <sheetProtection/>
  <hyperlinks>
    <hyperlink ref="A26" r:id="rId1" display="http://www.konkoly.hu/cgi-bin/IBVS?2189"/>
    <hyperlink ref="A27" r:id="rId2" display="http://www.konkoly.hu/cgi-bin/IBVS?2189"/>
    <hyperlink ref="A29" r:id="rId3" display="http://www.konkoly.hu/cgi-bin/IBVS?4597"/>
    <hyperlink ref="A30" r:id="rId4" display="http://www.konkoly.hu/cgi-bin/IBVS?5067"/>
    <hyperlink ref="A32" r:id="rId5" display="http://www.konkoly.hu/cgi-bin/IBVS?5251"/>
    <hyperlink ref="A34" r:id="rId6" display="http://www.bav-astro.de/sfs/BAVM_link.php?BAVMnr=172"/>
    <hyperlink ref="A35" r:id="rId7" display="http://www.bav-astro.de/sfs/BAVM_link.php?BAVMnr=209"/>
    <hyperlink ref="A36" r:id="rId8" display="http://www.konkoly.hu/cgi-bin/IBVS?5894"/>
    <hyperlink ref="A37" r:id="rId9" display="http://www.bav-astro.de/sfs/BAVM_link.php?BAVMnr=214"/>
    <hyperlink ref="A38" r:id="rId10" display="http://www.bav-astro.de/sfs/BAVM_link.php?BAVMnr=214"/>
    <hyperlink ref="A39" r:id="rId11" display="http://www.bav-astro.de/sfs/BAVM_link.php?BAVMnr=220"/>
    <hyperlink ref="A40" r:id="rId12" display="http://www.konkoly.hu/cgi-bin/IBVS?5992"/>
    <hyperlink ref="A41" r:id="rId13" display="http://www.bav-astro.de/sfs/BAVM_link.php?BAVMnr=225"/>
    <hyperlink ref="A42" r:id="rId14" display="http://www.konkoly.hu/cgi-bin/IBVS?6029"/>
  </hyperlinks>
  <printOptions/>
  <pageMargins left="0.75" right="0.75" top="1" bottom="1" header="0.5" footer="0.5"/>
  <pageSetup horizontalDpi="600" verticalDpi="600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2022-11-13T03:34:15Z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