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40" windowHeight="133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<sst xmlns="http://schemas.openxmlformats.org/spreadsheetml/2006/main" count="83" uniqueCount="74">
  <si>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</si>
  <si>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</si>
  <si>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</si>
  <si>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</si>
  <si>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</si>
  <si>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</si>
  <si>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</si>
  <si>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</si>
  <si>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</si>
  <si>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</si>
  <si>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</si>
  <si>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</si>
  <si>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</si>
  <si>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</si>
  <si>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</si>
  <si>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</si>
  <si>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</si>
  <si>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</si>
  <si>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</si>
  <si>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</si>
  <si>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</si>
  <si>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</si>
  <si>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</si>
  <si>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</si>
  <si>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</si>
  <si>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</si>
  <si>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</si>
  <si>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</si>
  <si>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</si>
  <si>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Bull.101</t>
  </si>
  <si>
    <t>B</t>
  </si>
  <si>
    <t># of data points:</t>
  </si>
  <si>
    <t>E/SD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</si>
  <si>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</si>
  <si>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</si>
  <si>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</si>
  <si>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</si>
  <si>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</si>
  <si>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</si>
  <si>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</si>
  <si>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</si>
  <si>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OEJV 0003</t>
  </si>
  <si>
    <t>I</t>
  </si>
  <si>
    <t>RR Crv / GSC 6106-0712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</si>
  <si>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</si>
  <si>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</si>
  <si>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</si>
  <si>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</si>
  <si>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</si>
  <si>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</si>
  <si>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</si>
  <si>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</si>
  <si>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</si>
  <si>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</si>
  <si>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</si>
  <si>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</si>
  <si>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2429392.209 </t>
  </si>
  <si>
    <t> 08.05.1939 17:00 </t>
  </si>
  <si>
    <t> 0.000 </t>
  </si>
  <si>
    <t> Boyce </t>
  </si>
  <si>
    <t> HA 109.25 </t>
  </si>
  <si>
    <t>2448756.53 </t>
  </si>
  <si>
    <t> 14.05.1992 00:43 </t>
  </si>
  <si>
    <t> 0.73 </t>
  </si>
  <si>
    <t>E </t>
  </si>
  <si>
    <t>?</t>
  </si>
  <si>
    <t> A.Paschke </t>
  </si>
  <si>
    <t> BBS 101 </t>
  </si>
  <si>
    <t>2453445.586 </t>
  </si>
  <si>
    <t> 16.03.2005 02:03 </t>
  </si>
  <si>
    <t> 1.054 </t>
  </si>
  <si>
    <t>V </t>
  </si>
  <si>
    <t> K.Locher </t>
  </si>
  <si>
    <t>OEJV 0003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</si>
</sst>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RR Crv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525"/>
          <c:w val="0.90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crossBetween val="midCat"/>
        <c:dispUnits/>
      </c:valAx>
      <c:valAx>
        <c:axId val="31130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05"/>
          <c:w val="0.6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16</xdr:col>
      <xdr:colOff>552450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29150" y="0"/>
        <a:ext cx="6019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18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24</v>
      </c>
      <c r="B2" s="11" t="s">
        <v>32</v>
      </c>
    </row>
    <row r="4" spans="1:4" ht="14.25" thickBot="1" thickTop="1">
      <c r="A4" s="6" t="s">
        <v>0</v>
      </c>
      <c r="C4" s="3">
        <v>29392.209</v>
      </c>
      <c r="D4" s="4">
        <v>5.158122</v>
      </c>
    </row>
    <row r="5" spans="1:4" ht="13.5" thickTop="1">
      <c r="A5" s="12" t="s">
        <v>33</v>
      </c>
      <c r="B5" s="13"/>
      <c r="C5" s="14">
        <v>-9.5</v>
      </c>
      <c r="D5" s="13" t="s">
        <v>34</v>
      </c>
    </row>
    <row r="6" ht="12.75">
      <c r="A6" s="6" t="s">
        <v>1</v>
      </c>
    </row>
    <row r="7" spans="1:3" ht="12.75">
      <c r="A7" t="s">
        <v>2</v>
      </c>
      <c r="C7">
        <f>+C4</f>
        <v>29392.209</v>
      </c>
    </row>
    <row r="8" spans="1:3" ht="12.75">
      <c r="A8" t="s">
        <v>3</v>
      </c>
      <c r="C8">
        <f>+D4</f>
        <v>5.158122</v>
      </c>
    </row>
    <row r="9" spans="1:4" ht="12.75">
      <c r="A9" s="28" t="s">
        <v>40</v>
      </c>
      <c r="B9" s="29">
        <v>21</v>
      </c>
      <c r="C9" s="17" t="str">
        <f>"F"&amp;B9</f>
        <v>F21</v>
      </c>
      <c r="D9" s="18" t="str">
        <f>"G"&amp;B9</f>
        <v>G21</v>
      </c>
    </row>
    <row r="10" spans="1:5" ht="13.5" thickBot="1">
      <c r="A10" s="13"/>
      <c r="B10" s="13"/>
      <c r="C10" s="5" t="s">
        <v>20</v>
      </c>
      <c r="D10" s="5" t="s">
        <v>21</v>
      </c>
      <c r="E10" s="13"/>
    </row>
    <row r="11" spans="1:5" ht="12.75">
      <c r="A11" s="13" t="s">
        <v>16</v>
      </c>
      <c r="B11" s="13"/>
      <c r="C11" s="15">
        <f ca="1">INTERCEPT(INDIRECT($D$9):G992,INDIRECT($C$9):F992)</f>
        <v>-0.013597797125369127</v>
      </c>
      <c r="D11" s="16"/>
      <c r="E11" s="13"/>
    </row>
    <row r="12" spans="1:5" ht="12.75">
      <c r="A12" s="13" t="s">
        <v>17</v>
      </c>
      <c r="B12" s="13"/>
      <c r="C12" s="15">
        <f ca="1">SLOPE(INDIRECT($D$9):G992,INDIRECT($C$9):F992)</f>
        <v>0.0002169323264091571</v>
      </c>
      <c r="D12" s="16"/>
      <c r="E12" s="13"/>
    </row>
    <row r="13" spans="1:3" ht="12.75">
      <c r="A13" s="13" t="s">
        <v>19</v>
      </c>
      <c r="B13" s="13"/>
      <c r="C13" s="16" t="s">
        <v>14</v>
      </c>
    </row>
    <row r="14" spans="1:3" ht="12.75">
      <c r="A14" s="13"/>
      <c r="B14" s="13"/>
      <c r="C14" s="13"/>
    </row>
    <row r="15" spans="1:6" ht="12.75">
      <c r="A15" s="21" t="s">
        <v>18</v>
      </c>
      <c r="B15" s="13"/>
      <c r="C15" s="22">
        <f>(C7+C11)+(C8+C12)*INT(MAX(F21:F3533))</f>
        <v>53445.52984364092</v>
      </c>
      <c r="E15" s="19" t="s">
        <v>35</v>
      </c>
      <c r="F15" s="14">
        <v>1</v>
      </c>
    </row>
    <row r="16" spans="1:6" ht="12.75">
      <c r="A16" s="23" t="s">
        <v>4</v>
      </c>
      <c r="B16" s="13"/>
      <c r="C16" s="24">
        <f>+C8+C12</f>
        <v>5.158338932326409</v>
      </c>
      <c r="E16" s="19" t="s">
        <v>36</v>
      </c>
      <c r="F16" s="20">
        <f ca="1">NOW()+15018.5+$C$5/24</f>
        <v>59896.711122685185</v>
      </c>
    </row>
    <row r="17" spans="1:6" ht="13.5" thickBot="1">
      <c r="A17" s="19" t="s">
        <v>31</v>
      </c>
      <c r="B17" s="13"/>
      <c r="C17" s="13">
        <f>COUNT(C21:C2191)</f>
        <v>3</v>
      </c>
      <c r="E17" s="19" t="s">
        <v>37</v>
      </c>
      <c r="F17" s="20">
        <f>ROUND(2*(F16-$C$7)/$C$8,0)/2+F15</f>
        <v>5915</v>
      </c>
    </row>
    <row r="18" spans="1:6" ht="14.25" thickBot="1" thickTop="1">
      <c r="A18" s="23" t="s">
        <v>5</v>
      </c>
      <c r="B18" s="13"/>
      <c r="C18" s="26">
        <f>+C15</f>
        <v>53445.52984364092</v>
      </c>
      <c r="D18" s="27">
        <f>+C16</f>
        <v>5.158338932326409</v>
      </c>
      <c r="E18" s="19" t="s">
        <v>38</v>
      </c>
      <c r="F18" s="18">
        <f>ROUND(2*(F16-$C$15)/$C$16,0)/2+F15</f>
        <v>1251.5</v>
      </c>
    </row>
    <row r="19" spans="5:6" ht="13.5" thickTop="1">
      <c r="E19" s="19" t="s">
        <v>39</v>
      </c>
      <c r="F19" s="25">
        <f>+$C$15+$C$16*F18-15018.5-$C$5/24</f>
        <v>44883.08685078075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51</v>
      </c>
      <c r="I20" s="8" t="s">
        <v>54</v>
      </c>
      <c r="J20" s="8" t="s">
        <v>48</v>
      </c>
      <c r="K20" s="8" t="s">
        <v>46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9">
        <v>29392.209</v>
      </c>
      <c r="D21" s="9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-0.013597797125369127</v>
      </c>
      <c r="Q21" s="2">
        <f>+C21-15018.5</f>
        <v>14373.708999999999</v>
      </c>
    </row>
    <row r="22" spans="1:31" ht="12.75">
      <c r="A22" t="s">
        <v>29</v>
      </c>
      <c r="C22" s="10">
        <v>48756.53</v>
      </c>
      <c r="D22" s="9">
        <v>0.01</v>
      </c>
      <c r="E22">
        <f>+(C22-C$7)/C$8</f>
        <v>3754.141720571945</v>
      </c>
      <c r="F22">
        <f>ROUND(2*E22,0)/2</f>
        <v>3754</v>
      </c>
      <c r="G22">
        <f>+C22-(C$7+F22*C$8)</f>
        <v>0.7310120000038296</v>
      </c>
      <c r="I22">
        <f>+G22</f>
        <v>0.7310120000038296</v>
      </c>
      <c r="O22">
        <f>+C$11+C$12*F22</f>
        <v>0.8007661562146067</v>
      </c>
      <c r="Q22" s="2">
        <f>+C22-15018.5</f>
        <v>33738.03</v>
      </c>
      <c r="AA22">
        <v>30</v>
      </c>
      <c r="AC22" t="s">
        <v>28</v>
      </c>
      <c r="AE22" t="s">
        <v>30</v>
      </c>
    </row>
    <row r="23" spans="1:17" ht="12.75">
      <c r="A23" s="30" t="s">
        <v>41</v>
      </c>
      <c r="B23" s="31" t="s">
        <v>42</v>
      </c>
      <c r="C23" s="30">
        <v>53445.586</v>
      </c>
      <c r="D23" s="30">
        <v>0.009</v>
      </c>
      <c r="E23">
        <f>+(C23-C$7)/C$8</f>
        <v>4663.204360036464</v>
      </c>
      <c r="F23">
        <f>ROUND(2*E23,0)/2</f>
        <v>4663</v>
      </c>
      <c r="G23">
        <f>+C23-(C$7+F23*C$8)</f>
        <v>1.0541140000059386</v>
      </c>
      <c r="I23">
        <f>+G23</f>
        <v>1.0541140000059386</v>
      </c>
      <c r="O23">
        <f>+C$11+C$12*F23</f>
        <v>0.9979576409205304</v>
      </c>
      <c r="Q23" s="2">
        <f>+C23-15018.5</f>
        <v>38427.086</v>
      </c>
    </row>
    <row r="24" spans="3:17" ht="12.75">
      <c r="C24" s="10"/>
      <c r="D24" s="9"/>
      <c r="Q24" s="2"/>
    </row>
    <row r="25" spans="3:17" ht="12.75">
      <c r="C25" s="10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5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9" customWidth="1"/>
    <col min="2" max="2" width="4.421875" style="13" customWidth="1"/>
    <col min="3" max="3" width="12.7109375" style="9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9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2" t="s">
        <v>44</v>
      </c>
      <c r="I1" s="33" t="s">
        <v>45</v>
      </c>
      <c r="J1" s="34" t="s">
        <v>46</v>
      </c>
    </row>
    <row r="2" spans="9:10" ht="12.75">
      <c r="I2" s="35" t="s">
        <v>47</v>
      </c>
      <c r="J2" s="36" t="s">
        <v>48</v>
      </c>
    </row>
    <row r="3" spans="1:10" ht="12.75">
      <c r="A3" s="37" t="s">
        <v>49</v>
      </c>
      <c r="I3" s="35" t="s">
        <v>50</v>
      </c>
      <c r="J3" s="36" t="s">
        <v>51</v>
      </c>
    </row>
    <row r="4" spans="9:10" ht="12.75">
      <c r="I4" s="35" t="s">
        <v>52</v>
      </c>
      <c r="J4" s="36" t="s">
        <v>51</v>
      </c>
    </row>
    <row r="5" spans="9:10" ht="13.5" thickBot="1">
      <c r="I5" s="38" t="s">
        <v>53</v>
      </c>
      <c r="J5" s="39" t="s">
        <v>54</v>
      </c>
    </row>
    <row r="10" ht="13.5" thickBot="1"/>
    <row r="11" spans="1:16" ht="12.75" customHeight="1" thickBot="1">
      <c r="A11" s="9" t="str">
        <f>P11</f>
        <v> HA 109.25 </v>
      </c>
      <c r="B11" s="16" t="str">
        <f>IF(H11=INT(H11),"I","II")</f>
        <v>I</v>
      </c>
      <c r="C11" s="9">
        <f>1*G11</f>
        <v>29392.209</v>
      </c>
      <c r="D11" s="13" t="str">
        <f>VLOOKUP(F11,I$1:J$5,2,FALSE)</f>
        <v>vis</v>
      </c>
      <c r="E11" s="40">
        <f>VLOOKUP(C11,A!C$21:E$973,3,FALSE)</f>
        <v>0</v>
      </c>
      <c r="F11" s="16" t="s">
        <v>53</v>
      </c>
      <c r="G11" s="13" t="str">
        <f>MID(I11,3,LEN(I11)-3)</f>
        <v>29392.209</v>
      </c>
      <c r="H11" s="9">
        <f>1*K11</f>
        <v>0</v>
      </c>
      <c r="I11" s="41" t="s">
        <v>56</v>
      </c>
      <c r="J11" s="42" t="s">
        <v>57</v>
      </c>
      <c r="K11" s="41">
        <v>0</v>
      </c>
      <c r="L11" s="41" t="s">
        <v>58</v>
      </c>
      <c r="M11" s="42" t="s">
        <v>55</v>
      </c>
      <c r="N11" s="42"/>
      <c r="O11" s="43" t="s">
        <v>59</v>
      </c>
      <c r="P11" s="43" t="s">
        <v>60</v>
      </c>
    </row>
    <row r="12" spans="1:16" ht="12.75" customHeight="1" thickBot="1">
      <c r="A12" s="9" t="str">
        <f>P12</f>
        <v> BBS 101 </v>
      </c>
      <c r="B12" s="16" t="str">
        <f>IF(H12=INT(H12),"I","II")</f>
        <v>I</v>
      </c>
      <c r="C12" s="9">
        <f>1*G12</f>
        <v>48756.53</v>
      </c>
      <c r="D12" s="13" t="str">
        <f>VLOOKUP(F12,I$1:J$5,2,FALSE)</f>
        <v>vis</v>
      </c>
      <c r="E12" s="40">
        <f>VLOOKUP(C12,A!C$21:E$973,3,FALSE)</f>
        <v>3754.141720571945</v>
      </c>
      <c r="F12" s="16" t="s">
        <v>53</v>
      </c>
      <c r="G12" s="13" t="str">
        <f>MID(I12,3,LEN(I12)-3)</f>
        <v>48756.53</v>
      </c>
      <c r="H12" s="9">
        <f>1*K12</f>
        <v>3754</v>
      </c>
      <c r="I12" s="41" t="s">
        <v>61</v>
      </c>
      <c r="J12" s="42" t="s">
        <v>62</v>
      </c>
      <c r="K12" s="41">
        <v>3754</v>
      </c>
      <c r="L12" s="41" t="s">
        <v>63</v>
      </c>
      <c r="M12" s="42" t="s">
        <v>64</v>
      </c>
      <c r="N12" s="42" t="s">
        <v>65</v>
      </c>
      <c r="O12" s="43" t="s">
        <v>66</v>
      </c>
      <c r="P12" s="43" t="s">
        <v>67</v>
      </c>
    </row>
    <row r="13" spans="1:16" ht="12.75" customHeight="1" thickBot="1">
      <c r="A13" s="9" t="str">
        <f>P13</f>
        <v>OEJV 0003 </v>
      </c>
      <c r="B13" s="16" t="str">
        <f>IF(H13=INT(H13),"I","II")</f>
        <v>I</v>
      </c>
      <c r="C13" s="9">
        <f>1*G13</f>
        <v>53445.586</v>
      </c>
      <c r="D13" s="13" t="str">
        <f>VLOOKUP(F13,I$1:J$5,2,FALSE)</f>
        <v>vis</v>
      </c>
      <c r="E13" s="40">
        <f>VLOOKUP(C13,A!C$21:E$973,3,FALSE)</f>
        <v>4663.204360036464</v>
      </c>
      <c r="F13" s="16" t="s">
        <v>53</v>
      </c>
      <c r="G13" s="13" t="str">
        <f>MID(I13,3,LEN(I13)-3)</f>
        <v>53445.586</v>
      </c>
      <c r="H13" s="9">
        <f>1*K13</f>
        <v>4663</v>
      </c>
      <c r="I13" s="41" t="s">
        <v>68</v>
      </c>
      <c r="J13" s="42" t="s">
        <v>69</v>
      </c>
      <c r="K13" s="41">
        <v>4663</v>
      </c>
      <c r="L13" s="41" t="s">
        <v>70</v>
      </c>
      <c r="M13" s="42" t="s">
        <v>71</v>
      </c>
      <c r="N13" s="42"/>
      <c r="O13" s="43" t="s">
        <v>72</v>
      </c>
      <c r="P13" s="44" t="s">
        <v>73</v>
      </c>
    </row>
    <row r="14" spans="2:6" ht="12.75">
      <c r="B14" s="16"/>
      <c r="F14" s="16"/>
    </row>
    <row r="15" spans="2:6" ht="12.75">
      <c r="B15" s="16"/>
      <c r="F15" s="16"/>
    </row>
    <row r="16" spans="2:6" ht="12.75">
      <c r="B16" s="16"/>
      <c r="F16" s="16"/>
    </row>
    <row r="17" spans="2:6" ht="12.75">
      <c r="B17" s="16"/>
      <c r="F17" s="16"/>
    </row>
    <row r="18" spans="2:6" ht="12.75">
      <c r="B18" s="16"/>
      <c r="F18" s="16"/>
    </row>
    <row r="19" spans="2:6" ht="12.75">
      <c r="B19" s="16"/>
      <c r="F19" s="16"/>
    </row>
    <row r="20" spans="2:6" ht="12.75">
      <c r="B20" s="16"/>
      <c r="F20" s="16"/>
    </row>
    <row r="21" spans="2:6" ht="12.75">
      <c r="B21" s="16"/>
      <c r="F21" s="16"/>
    </row>
    <row r="22" spans="2:6" ht="12.75">
      <c r="B22" s="16"/>
      <c r="F22" s="16"/>
    </row>
    <row r="23" spans="2:6" ht="12.75">
      <c r="B23" s="16"/>
      <c r="F23" s="16"/>
    </row>
    <row r="24" spans="2:6" ht="12.75">
      <c r="B24" s="16"/>
      <c r="F24" s="16"/>
    </row>
    <row r="25" spans="2:6" ht="12.75">
      <c r="B25" s="16"/>
      <c r="F25" s="16"/>
    </row>
    <row r="26" spans="2:6" ht="12.75">
      <c r="B26" s="16"/>
      <c r="F26" s="16"/>
    </row>
    <row r="27" spans="2:6" ht="12.75">
      <c r="B27" s="16"/>
      <c r="F27" s="16"/>
    </row>
    <row r="28" spans="2:6" ht="12.75">
      <c r="B28" s="16"/>
      <c r="F28" s="16"/>
    </row>
    <row r="29" spans="2:6" ht="12.75">
      <c r="B29" s="16"/>
      <c r="F29" s="16"/>
    </row>
    <row r="30" spans="2:6" ht="12.75">
      <c r="B30" s="16"/>
      <c r="F30" s="16"/>
    </row>
    <row r="31" spans="2:6" ht="12.75">
      <c r="B31" s="16"/>
      <c r="F31" s="16"/>
    </row>
    <row r="32" spans="2:6" ht="12.75">
      <c r="B32" s="16"/>
      <c r="F32" s="16"/>
    </row>
    <row r="33" spans="2:6" ht="12.75">
      <c r="B33" s="16"/>
      <c r="F33" s="16"/>
    </row>
    <row r="34" spans="2:6" ht="12.75">
      <c r="B34" s="16"/>
      <c r="F34" s="16"/>
    </row>
    <row r="35" spans="2:6" ht="12.75">
      <c r="B35" s="16"/>
      <c r="F35" s="16"/>
    </row>
    <row r="36" spans="2:6" ht="12.75">
      <c r="B36" s="16"/>
      <c r="F36" s="16"/>
    </row>
    <row r="37" spans="2:6" ht="12.75">
      <c r="B37" s="16"/>
      <c r="F37" s="16"/>
    </row>
    <row r="38" spans="2:6" ht="12.75">
      <c r="B38" s="16"/>
      <c r="F38" s="16"/>
    </row>
    <row r="39" spans="2:6" ht="12.75">
      <c r="B39" s="16"/>
      <c r="F39" s="16"/>
    </row>
    <row r="40" spans="2:6" ht="12.75">
      <c r="B40" s="16"/>
      <c r="F40" s="16"/>
    </row>
    <row r="41" spans="2:6" ht="12.75">
      <c r="B41" s="16"/>
      <c r="F41" s="16"/>
    </row>
    <row r="42" spans="2:6" ht="12.75">
      <c r="B42" s="16"/>
      <c r="F42" s="16"/>
    </row>
    <row r="43" spans="2:6" ht="12.75">
      <c r="B43" s="16"/>
      <c r="F43" s="16"/>
    </row>
    <row r="44" spans="2:6" ht="12.75">
      <c r="B44" s="16"/>
      <c r="F44" s="16"/>
    </row>
    <row r="45" spans="2:6" ht="12.75">
      <c r="B45" s="16"/>
      <c r="F45" s="16"/>
    </row>
    <row r="46" spans="2:6" ht="12.75">
      <c r="B46" s="16"/>
      <c r="F46" s="16"/>
    </row>
    <row r="47" spans="2:6" ht="12.75">
      <c r="B47" s="16"/>
      <c r="F47" s="16"/>
    </row>
    <row r="48" spans="2:6" ht="12.75">
      <c r="B48" s="16"/>
      <c r="F48" s="16"/>
    </row>
    <row r="49" spans="2:6" ht="12.75">
      <c r="B49" s="16"/>
      <c r="F49" s="16"/>
    </row>
    <row r="50" spans="2:6" ht="12.75">
      <c r="B50" s="16"/>
      <c r="F50" s="16"/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</sheetData>
  <sheetProtection/>
  <hyperlinks>
    <hyperlink ref="P13" r:id="rId1" display="http://var.astro.cz/oejv/issues/oejv0003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