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535" windowHeight="13605" activeTab="0"/>
  </bookViews>
  <sheets>
    <sheet name="Active" sheetId="1" r:id="rId1"/>
    <sheet name="A (old)" sheetId="2" r:id="rId2"/>
    <sheet name="B" sheetId="3" r:id="rId3"/>
    <sheet name="BAV" sheetId="4" r:id="rId4"/>
    <sheet name="C" sheetId="5" r:id="rId5"/>
  </sheets>
  <definedNames/>
  <calcPr fullCalcOnLoad="1"/>
</workbook>
</file>

<file path=xl/sharedStrings.xml><?xml version="1.0" encoding="utf-8"?>
<sst xmlns="http://schemas.openxmlformats.org/spreadsheetml/2006/main" count="329" uniqueCount="120">
  <si>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</si>
  <si>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</si>
  <si>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</si>
  <si>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</si>
  <si>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</si>
  <si>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</si>
  <si>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</si>
  <si>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</si>
  <si>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</si>
  <si>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</si>
  <si>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</si>
  <si>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</si>
  <si>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</si>
  <si>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</si>
  <si>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</si>
  <si>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</si>
  <si>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</si>
  <si>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</si>
  <si>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</si>
  <si>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</si>
  <si>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</si>
  <si>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</si>
  <si>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</si>
  <si>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</si>
  <si>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</si>
  <si>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</si>
  <si>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</si>
  <si>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</si>
  <si>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</si>
  <si>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 xml:space="preserve">EW/KW     </t>
  </si>
  <si>
    <t>I</t>
  </si>
  <si>
    <t>na</t>
  </si>
  <si>
    <t>Misc</t>
  </si>
  <si>
    <t>QX Cyg</t>
  </si>
  <si>
    <t>IBVS 5263</t>
  </si>
  <si>
    <t>IBVS 5287</t>
  </si>
  <si>
    <t>IBVS 5583</t>
  </si>
  <si>
    <t>II</t>
  </si>
  <si>
    <t>Obviously wrong</t>
  </si>
  <si>
    <t>IBVS</t>
  </si>
  <si>
    <t>QX Cyg / GSC 3137-2869</t>
  </si>
  <si>
    <t>IBVS 5657</t>
  </si>
  <si>
    <t>IBVS 5731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</si>
  <si>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</si>
  <si>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</si>
  <si>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</si>
  <si>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</si>
  <si>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</si>
  <si>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</si>
  <si>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</si>
  <si>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OEJV 0074</t>
  </si>
  <si>
    <t>CCD</t>
  </si>
  <si>
    <t>Add cycle</t>
  </si>
  <si>
    <t>Old Cycle</t>
  </si>
  <si>
    <t>IBVS 6118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</si>
  <si>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</si>
  <si>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</si>
  <si>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</si>
  <si>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</si>
  <si>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</si>
  <si>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</si>
  <si>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</si>
  <si>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</si>
  <si>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</si>
  <si>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</si>
  <si>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2451358.393 </t>
  </si>
  <si>
    <t> 28.06.1999 21:25 </t>
  </si>
  <si>
    <t> -0.151 </t>
  </si>
  <si>
    <t>E </t>
  </si>
  <si>
    <t>?</t>
  </si>
  <si>
    <t> R.Diethelm </t>
  </si>
  <si>
    <t> BBS 120 </t>
  </si>
  <si>
    <t>2451467.2123 </t>
  </si>
  <si>
    <t> 15.10.1999 17:05 </t>
  </si>
  <si>
    <t> -0.1842 </t>
  </si>
  <si>
    <t> M.Zejda </t>
  </si>
  <si>
    <t>IBVS 5263 </t>
  </si>
  <si>
    <t>2451697.4865 </t>
  </si>
  <si>
    <t> 01.06.2000 23:40 </t>
  </si>
  <si>
    <t> -0.2102 </t>
  </si>
  <si>
    <t>IBVS 5287 </t>
  </si>
  <si>
    <t>2451776.6348 </t>
  </si>
  <si>
    <t> 20.08.2000 03:14 </t>
  </si>
  <si>
    <t> -0.2276 </t>
  </si>
  <si>
    <t>2451777.5490 </t>
  </si>
  <si>
    <t> 21.08.2000 01:10 </t>
  </si>
  <si>
    <t> -0.2130 </t>
  </si>
  <si>
    <t>2452127.44550 </t>
  </si>
  <si>
    <t> 05.08.2001 22:41 </t>
  </si>
  <si>
    <t> -0.26477 </t>
  </si>
  <si>
    <t>C </t>
  </si>
  <si>
    <t>o</t>
  </si>
  <si>
    <t> K.Koss </t>
  </si>
  <si>
    <t>OEJV 0074 </t>
  </si>
  <si>
    <t>2452413.49510 </t>
  </si>
  <si>
    <t> 18.05.2002 23:52 </t>
  </si>
  <si>
    <t> -0.29115 </t>
  </si>
  <si>
    <t> Motl et al. </t>
  </si>
  <si>
    <t>2452440.4817 </t>
  </si>
  <si>
    <t> 14.06.2002 23:33 </t>
  </si>
  <si>
    <t> -0.2928 </t>
  </si>
  <si>
    <t>IBVS 5583 </t>
  </si>
  <si>
    <t>2452507.4988 </t>
  </si>
  <si>
    <t> 20.08.2002 23:58 </t>
  </si>
  <si>
    <t> -0.2967 </t>
  </si>
  <si>
    <t>2453258.5772 </t>
  </si>
  <si>
    <t> 10.09.2004 01:51 </t>
  </si>
  <si>
    <t> -0.3926 </t>
  </si>
  <si>
    <t> F.Agerer </t>
  </si>
  <si>
    <t>BAVM 173 </t>
  </si>
  <si>
    <t>2453612.5263 </t>
  </si>
  <si>
    <t> 30.08.2005 00:37 </t>
  </si>
  <si>
    <t> -0.4401 </t>
  </si>
  <si>
    <t> Schmidt </t>
  </si>
  <si>
    <t>BAVM 178 </t>
  </si>
  <si>
    <t>2454922.644 </t>
  </si>
  <si>
    <t> 01.04.2009 03:27 </t>
  </si>
  <si>
    <t> -0.604 </t>
  </si>
  <si>
    <t> W.Moschner &amp; P.Frank </t>
  </si>
  <si>
    <t>BAVM 234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</si>
</sst>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9" xfId="0" applyFont="1" applyFill="1" applyBorder="1" applyAlignment="1">
      <alignment horizontal="left" vertical="top" wrapText="1" inden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vertical="top" wrapText="1"/>
    </xf>
    <xf numFmtId="0" fontId="15" fillId="33" borderId="19" xfId="54" applyFill="1" applyBorder="1" applyAlignment="1" applyProtection="1">
      <alignment horizontal="right" vertical="top" wrapText="1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QX Cyg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Active!$C$21:$C$1967</c:f>
                <c:numCache>
                  <c:ptCount val="946"/>
                  <c:pt idx="0">
                    <c:v>23352.335</c:v>
                  </c:pt>
                  <c:pt idx="1">
                    <c:v>51358.393</c:v>
                  </c:pt>
                  <c:pt idx="2">
                    <c:v>51467.2123</c:v>
                  </c:pt>
                  <c:pt idx="3">
                    <c:v>51697.4865</c:v>
                  </c:pt>
                  <c:pt idx="4">
                    <c:v>51776.6348</c:v>
                  </c:pt>
                  <c:pt idx="5">
                    <c:v>51777.549</c:v>
                  </c:pt>
                  <c:pt idx="6">
                    <c:v>52127.4455</c:v>
                  </c:pt>
                  <c:pt idx="7">
                    <c:v>52413.4951</c:v>
                  </c:pt>
                  <c:pt idx="8">
                    <c:v>52440.4817</c:v>
                  </c:pt>
                  <c:pt idx="9">
                    <c:v>52507.4988</c:v>
                  </c:pt>
                  <c:pt idx="10">
                    <c:v>53258.5772</c:v>
                  </c:pt>
                  <c:pt idx="11">
                    <c:v>53612.5263</c:v>
                  </c:pt>
                  <c:pt idx="12">
                    <c:v>54922.644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plus>
            <c:minus>
              <c:numRef>
                <c:f>Active!$C$21:$C$1967</c:f>
                <c:numCache>
                  <c:ptCount val="946"/>
                  <c:pt idx="0">
                    <c:v>23352.335</c:v>
                  </c:pt>
                  <c:pt idx="1">
                    <c:v>51358.393</c:v>
                  </c:pt>
                  <c:pt idx="2">
                    <c:v>51467.2123</c:v>
                  </c:pt>
                  <c:pt idx="3">
                    <c:v>51697.4865</c:v>
                  </c:pt>
                  <c:pt idx="4">
                    <c:v>51776.6348</c:v>
                  </c:pt>
                  <c:pt idx="5">
                    <c:v>51777.549</c:v>
                  </c:pt>
                  <c:pt idx="6">
                    <c:v>52127.4455</c:v>
                  </c:pt>
                  <c:pt idx="7">
                    <c:v>52413.4951</c:v>
                  </c:pt>
                  <c:pt idx="8">
                    <c:v>52440.4817</c:v>
                  </c:pt>
                  <c:pt idx="9">
                    <c:v>52507.4988</c:v>
                  </c:pt>
                  <c:pt idx="10">
                    <c:v>53258.5772</c:v>
                  </c:pt>
                  <c:pt idx="11">
                    <c:v>53612.5263</c:v>
                  </c:pt>
                  <c:pt idx="12">
                    <c:v>54922.644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Active!$F$21:$F$966</c:f>
              <c:numCache/>
            </c:numRef>
          </c:xVal>
          <c:yVal>
            <c:numRef>
              <c:f>Active!$H$21:$H$966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0.0134</c:v>
                  </c:pt>
                  <c:pt idx="3">
                    <c:v>0.0023</c:v>
                  </c:pt>
                  <c:pt idx="4">
                    <c:v>0.0075</c:v>
                  </c:pt>
                  <c:pt idx="5">
                    <c:v>0.007</c:v>
                  </c:pt>
                  <c:pt idx="6">
                    <c:v>0</c:v>
                  </c:pt>
                  <c:pt idx="7">
                    <c:v>0</c:v>
                  </c:pt>
                  <c:pt idx="8">
                    <c:v>0.0024</c:v>
                  </c:pt>
                  <c:pt idx="9">
                    <c:v>0.0085</c:v>
                  </c:pt>
                  <c:pt idx="10">
                    <c:v>0.0013</c:v>
                  </c:pt>
                  <c:pt idx="11">
                    <c:v>0.0037</c:v>
                  </c:pt>
                  <c:pt idx="12">
                    <c:v>0.006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Active!$D$21:$D$85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0.0134</c:v>
                  </c:pt>
                  <c:pt idx="3">
                    <c:v>0.0023</c:v>
                  </c:pt>
                  <c:pt idx="4">
                    <c:v>0.0075</c:v>
                  </c:pt>
                  <c:pt idx="5">
                    <c:v>0.007</c:v>
                  </c:pt>
                  <c:pt idx="6">
                    <c:v>0</c:v>
                  </c:pt>
                  <c:pt idx="7">
                    <c:v>0</c:v>
                  </c:pt>
                  <c:pt idx="8">
                    <c:v>0.0024</c:v>
                  </c:pt>
                  <c:pt idx="9">
                    <c:v>0.0085</c:v>
                  </c:pt>
                  <c:pt idx="10">
                    <c:v>0.0013</c:v>
                  </c:pt>
                  <c:pt idx="11">
                    <c:v>0.0037</c:v>
                  </c:pt>
                  <c:pt idx="12">
                    <c:v>0.006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Active!$F$21:$F$966</c:f>
              <c:numCache/>
            </c:numRef>
          </c:xVal>
          <c:yVal>
            <c:numRef>
              <c:f>Active!$I$21:$I$966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Active!$F$21:$F$966</c:f>
              <c:numCache/>
            </c:numRef>
          </c:xVal>
          <c:yVal>
            <c:numRef>
              <c:f>Active!$J$21:$J$966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Active!$F$21:$F$966</c:f>
              <c:numCache/>
            </c:numRef>
          </c:xVal>
          <c:yVal>
            <c:numRef>
              <c:f>Active!$K$21:$K$966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Active!$F$21:$F$966</c:f>
              <c:numCache/>
            </c:numRef>
          </c:xVal>
          <c:yVal>
            <c:numRef>
              <c:f>Active!$L$21:$L$966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Active!$F$21:$F$966</c:f>
              <c:numCache/>
            </c:numRef>
          </c:xVal>
          <c:yVal>
            <c:numRef>
              <c:f>Active!$M$21:$M$966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Active!$F$21:$F$966</c:f>
              <c:numCache/>
            </c:numRef>
          </c:xVal>
          <c:yVal>
            <c:numRef>
              <c:f>Active!$N$21:$N$966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Active!$F$21:$F$966</c:f>
              <c:numCache/>
            </c:numRef>
          </c:xVal>
          <c:yVal>
            <c:numRef>
              <c:f>Active!$O$21:$O$966</c:f>
              <c:numCache/>
            </c:numRef>
          </c:yVal>
          <c:smooth val="0"/>
        </c:ser>
        <c:axId val="65829409"/>
        <c:axId val="55593770"/>
      </c:scatterChart>
      <c:valAx>
        <c:axId val="65829409"/>
        <c:scaling>
          <c:orientation val="minMax"/>
          <c:min val="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3770"/>
        <c:crosses val="autoZero"/>
        <c:crossBetween val="midCat"/>
        <c:dispUnits/>
      </c:valAx>
      <c:valAx>
        <c:axId val="55593770"/>
        <c:scaling>
          <c:orientation val="minMax"/>
          <c:max val="-0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94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305"/>
          <c:w val="0.687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QX Cyg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75"/>
          <c:w val="0.906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Active!$C$21:$C$1967</c:f>
                <c:numCache>
                  <c:ptCount val="946"/>
                  <c:pt idx="0">
                    <c:v>23352.335</c:v>
                  </c:pt>
                  <c:pt idx="1">
                    <c:v>51358.393</c:v>
                  </c:pt>
                  <c:pt idx="2">
                    <c:v>51467.2123</c:v>
                  </c:pt>
                  <c:pt idx="3">
                    <c:v>51697.4865</c:v>
                  </c:pt>
                  <c:pt idx="4">
                    <c:v>51776.6348</c:v>
                  </c:pt>
                  <c:pt idx="5">
                    <c:v>51777.549</c:v>
                  </c:pt>
                  <c:pt idx="6">
                    <c:v>52127.4455</c:v>
                  </c:pt>
                  <c:pt idx="7">
                    <c:v>52413.4951</c:v>
                  </c:pt>
                  <c:pt idx="8">
                    <c:v>52440.4817</c:v>
                  </c:pt>
                  <c:pt idx="9">
                    <c:v>52507.4988</c:v>
                  </c:pt>
                  <c:pt idx="10">
                    <c:v>53258.5772</c:v>
                  </c:pt>
                  <c:pt idx="11">
                    <c:v>53612.5263</c:v>
                  </c:pt>
                  <c:pt idx="12">
                    <c:v>54922.644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plus>
            <c:minus>
              <c:numRef>
                <c:f>Active!$C$21:$C$1967</c:f>
                <c:numCache>
                  <c:ptCount val="946"/>
                  <c:pt idx="0">
                    <c:v>23352.335</c:v>
                  </c:pt>
                  <c:pt idx="1">
                    <c:v>51358.393</c:v>
                  </c:pt>
                  <c:pt idx="2">
                    <c:v>51467.2123</c:v>
                  </c:pt>
                  <c:pt idx="3">
                    <c:v>51697.4865</c:v>
                  </c:pt>
                  <c:pt idx="4">
                    <c:v>51776.6348</c:v>
                  </c:pt>
                  <c:pt idx="5">
                    <c:v>51777.549</c:v>
                  </c:pt>
                  <c:pt idx="6">
                    <c:v>52127.4455</c:v>
                  </c:pt>
                  <c:pt idx="7">
                    <c:v>52413.4951</c:v>
                  </c:pt>
                  <c:pt idx="8">
                    <c:v>52440.4817</c:v>
                  </c:pt>
                  <c:pt idx="9">
                    <c:v>52507.4988</c:v>
                  </c:pt>
                  <c:pt idx="10">
                    <c:v>53258.5772</c:v>
                  </c:pt>
                  <c:pt idx="11">
                    <c:v>53612.5263</c:v>
                  </c:pt>
                  <c:pt idx="12">
                    <c:v>54922.644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Active!$F$21:$F$966</c:f>
              <c:numCache/>
            </c:numRef>
          </c:xVal>
          <c:yVal>
            <c:numRef>
              <c:f>Active!$H$21:$H$966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0.0134</c:v>
                  </c:pt>
                  <c:pt idx="3">
                    <c:v>0.0023</c:v>
                  </c:pt>
                  <c:pt idx="4">
                    <c:v>0.0075</c:v>
                  </c:pt>
                  <c:pt idx="5">
                    <c:v>0.007</c:v>
                  </c:pt>
                  <c:pt idx="6">
                    <c:v>0</c:v>
                  </c:pt>
                  <c:pt idx="7">
                    <c:v>0</c:v>
                  </c:pt>
                  <c:pt idx="8">
                    <c:v>0.0024</c:v>
                  </c:pt>
                  <c:pt idx="9">
                    <c:v>0.0085</c:v>
                  </c:pt>
                  <c:pt idx="10">
                    <c:v>0.0013</c:v>
                  </c:pt>
                  <c:pt idx="11">
                    <c:v>0.0037</c:v>
                  </c:pt>
                  <c:pt idx="12">
                    <c:v>0.006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Active!$D$21:$D$85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0.0134</c:v>
                  </c:pt>
                  <c:pt idx="3">
                    <c:v>0.0023</c:v>
                  </c:pt>
                  <c:pt idx="4">
                    <c:v>0.0075</c:v>
                  </c:pt>
                  <c:pt idx="5">
                    <c:v>0.007</c:v>
                  </c:pt>
                  <c:pt idx="6">
                    <c:v>0</c:v>
                  </c:pt>
                  <c:pt idx="7">
                    <c:v>0</c:v>
                  </c:pt>
                  <c:pt idx="8">
                    <c:v>0.0024</c:v>
                  </c:pt>
                  <c:pt idx="9">
                    <c:v>0.0085</c:v>
                  </c:pt>
                  <c:pt idx="10">
                    <c:v>0.0013</c:v>
                  </c:pt>
                  <c:pt idx="11">
                    <c:v>0.0037</c:v>
                  </c:pt>
                  <c:pt idx="12">
                    <c:v>0.006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Active!$F$21:$F$966</c:f>
              <c:numCache/>
            </c:numRef>
          </c:xVal>
          <c:yVal>
            <c:numRef>
              <c:f>Active!$I$21:$I$966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Active!$F$21:$F$966</c:f>
              <c:numCache/>
            </c:numRef>
          </c:xVal>
          <c:yVal>
            <c:numRef>
              <c:f>Active!$J$21:$J$966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Active!$F$21:$F$966</c:f>
              <c:numCache/>
            </c:numRef>
          </c:xVal>
          <c:yVal>
            <c:numRef>
              <c:f>Active!$K$21:$K$966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Active!$F$21:$F$966</c:f>
              <c:numCache/>
            </c:numRef>
          </c:xVal>
          <c:yVal>
            <c:numRef>
              <c:f>Active!$L$21:$L$966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Active!$F$21:$F$966</c:f>
              <c:numCache/>
            </c:numRef>
          </c:xVal>
          <c:yVal>
            <c:numRef>
              <c:f>Active!$M$21:$M$966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Active!$F$21:$F$966</c:f>
              <c:numCache/>
            </c:numRef>
          </c:xVal>
          <c:yVal>
            <c:numRef>
              <c:f>Active!$N$21:$N$966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Active!$F$21:$F$966</c:f>
              <c:numCache/>
            </c:numRef>
          </c:xVal>
          <c:yVal>
            <c:numRef>
              <c:f>Active!$O$21:$O$966</c:f>
              <c:numCache/>
            </c:numRef>
          </c:yVal>
          <c:smooth val="0"/>
        </c:ser>
        <c:axId val="30581883"/>
        <c:axId val="6801492"/>
      </c:scatterChart>
      <c:valAx>
        <c:axId val="3058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492"/>
        <c:crosses val="autoZero"/>
        <c:crossBetween val="midCat"/>
        <c:dispUnits/>
      </c:valAx>
      <c:valAx>
        <c:axId val="6801492"/>
        <c:scaling>
          <c:orientation val="minMax"/>
          <c:max val="0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18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3075"/>
          <c:w val="0.685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QX Cyg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2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(old)'!$C$21:$C$1967</c:f>
                <c:numCache>
                  <c:ptCount val="946"/>
                  <c:pt idx="0">
                    <c:v>23352.335</c:v>
                  </c:pt>
                  <c:pt idx="1">
                    <c:v>51467.2123</c:v>
                  </c:pt>
                  <c:pt idx="2">
                    <c:v>51697.4865</c:v>
                  </c:pt>
                  <c:pt idx="3">
                    <c:v>51776.6348</c:v>
                  </c:pt>
                  <c:pt idx="4">
                    <c:v>51777.549</c:v>
                  </c:pt>
                  <c:pt idx="5">
                    <c:v>52440.4817</c:v>
                  </c:pt>
                  <c:pt idx="6">
                    <c:v>52507.4988</c:v>
                  </c:pt>
                  <c:pt idx="7">
                    <c:v>53258.5772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plus>
            <c:minus>
              <c:numRef>
                <c:f>'A (old)'!$C$21:$C$1967</c:f>
                <c:numCache>
                  <c:ptCount val="946"/>
                  <c:pt idx="0">
                    <c:v>23352.335</c:v>
                  </c:pt>
                  <c:pt idx="1">
                    <c:v>51467.2123</c:v>
                  </c:pt>
                  <c:pt idx="2">
                    <c:v>51697.4865</c:v>
                  </c:pt>
                  <c:pt idx="3">
                    <c:v>51776.6348</c:v>
                  </c:pt>
                  <c:pt idx="4">
                    <c:v>51777.549</c:v>
                  </c:pt>
                  <c:pt idx="5">
                    <c:v>52440.4817</c:v>
                  </c:pt>
                  <c:pt idx="6">
                    <c:v>52507.4988</c:v>
                  </c:pt>
                  <c:pt idx="7">
                    <c:v>53258.5772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(old)'!$F$21:$F$966</c:f>
              <c:numCache/>
            </c:numRef>
          </c:xVal>
          <c:yVal>
            <c:numRef>
              <c:f>'A (old)'!$H$21:$H$966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(old)'!$D$21:$D$85</c:f>
                <c:numCache>
                  <c:ptCount val="65"/>
                  <c:pt idx="0">
                    <c:v>0</c:v>
                  </c:pt>
                  <c:pt idx="1">
                    <c:v>0.0134</c:v>
                  </c:pt>
                  <c:pt idx="2">
                    <c:v>0.0023</c:v>
                  </c:pt>
                  <c:pt idx="3">
                    <c:v>0.0075</c:v>
                  </c:pt>
                  <c:pt idx="4">
                    <c:v>0.007</c:v>
                  </c:pt>
                  <c:pt idx="5">
                    <c:v>0.0024</c:v>
                  </c:pt>
                  <c:pt idx="6">
                    <c:v>0.0085</c:v>
                  </c:pt>
                  <c:pt idx="7">
                    <c:v>0.0013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'A (old)'!$D$21:$D$85</c:f>
                <c:numCache>
                  <c:ptCount val="65"/>
                  <c:pt idx="0">
                    <c:v>0</c:v>
                  </c:pt>
                  <c:pt idx="1">
                    <c:v>0.0134</c:v>
                  </c:pt>
                  <c:pt idx="2">
                    <c:v>0.0023</c:v>
                  </c:pt>
                  <c:pt idx="3">
                    <c:v>0.0075</c:v>
                  </c:pt>
                  <c:pt idx="4">
                    <c:v>0.007</c:v>
                  </c:pt>
                  <c:pt idx="5">
                    <c:v>0.0024</c:v>
                  </c:pt>
                  <c:pt idx="6">
                    <c:v>0.0085</c:v>
                  </c:pt>
                  <c:pt idx="7">
                    <c:v>0.0013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(old)'!$F$21:$F$966</c:f>
              <c:numCache/>
            </c:numRef>
          </c:xVal>
          <c:yVal>
            <c:numRef>
              <c:f>'A (old)'!$I$21:$I$966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 (old)'!$D$21:$D$21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(old)'!$F$21:$F$966</c:f>
              <c:numCache/>
            </c:numRef>
          </c:xVal>
          <c:yVal>
            <c:numRef>
              <c:f>'A (old)'!$J$21:$J$966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(old)'!$F$21:$F$966</c:f>
              <c:numCache/>
            </c:numRef>
          </c:xVal>
          <c:yVal>
            <c:numRef>
              <c:f>'A (old)'!$K$21:$K$966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(old)'!$F$21:$F$966</c:f>
              <c:numCache/>
            </c:numRef>
          </c:xVal>
          <c:yVal>
            <c:numRef>
              <c:f>'A (old)'!$L$21:$L$966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(old)'!$F$21:$F$966</c:f>
              <c:numCache/>
            </c:numRef>
          </c:xVal>
          <c:yVal>
            <c:numRef>
              <c:f>'A (old)'!$M$21:$M$966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(old)'!$F$21:$F$966</c:f>
              <c:numCache/>
            </c:numRef>
          </c:xVal>
          <c:yVal>
            <c:numRef>
              <c:f>'A (old)'!$N$21:$N$966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(old)'!$F$21:$F$966</c:f>
              <c:numCache/>
            </c:numRef>
          </c:xVal>
          <c:yVal>
            <c:numRef>
              <c:f>'A (old)'!$O$21:$O$966</c:f>
              <c:numCache/>
            </c:numRef>
          </c:yVal>
          <c:smooth val="0"/>
        </c:ser>
        <c:axId val="61213429"/>
        <c:axId val="14049950"/>
      </c:scatterChart>
      <c:valAx>
        <c:axId val="6121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 val="autoZero"/>
        <c:crossBetween val="midCat"/>
        <c:dispUnits/>
      </c:valAx>
      <c:valAx>
        <c:axId val="14049950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4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3025"/>
          <c:w val="0.73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QX Cyg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2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B!$C$21:$C$1967</c:f>
                <c:numCache>
                  <c:ptCount val="946"/>
                  <c:pt idx="0">
                    <c:v>23352.335</c:v>
                  </c:pt>
                  <c:pt idx="1">
                    <c:v>51467.2123</c:v>
                  </c:pt>
                  <c:pt idx="2">
                    <c:v>51697.4865</c:v>
                  </c:pt>
                  <c:pt idx="3">
                    <c:v>51776.6348</c:v>
                  </c:pt>
                  <c:pt idx="4">
                    <c:v>51777.549</c:v>
                  </c:pt>
                  <c:pt idx="5">
                    <c:v>52440.4817</c:v>
                  </c:pt>
                  <c:pt idx="6">
                    <c:v>52507.4988</c:v>
                  </c:pt>
                  <c:pt idx="7">
                    <c:v>53258.5772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plus>
            <c:minus>
              <c:numRef>
                <c:f>B!$C$21:$C$1967</c:f>
                <c:numCache>
                  <c:ptCount val="946"/>
                  <c:pt idx="0">
                    <c:v>23352.335</c:v>
                  </c:pt>
                  <c:pt idx="1">
                    <c:v>51467.2123</c:v>
                  </c:pt>
                  <c:pt idx="2">
                    <c:v>51697.4865</c:v>
                  </c:pt>
                  <c:pt idx="3">
                    <c:v>51776.6348</c:v>
                  </c:pt>
                  <c:pt idx="4">
                    <c:v>51777.549</c:v>
                  </c:pt>
                  <c:pt idx="5">
                    <c:v>52440.4817</c:v>
                  </c:pt>
                  <c:pt idx="6">
                    <c:v>52507.4988</c:v>
                  </c:pt>
                  <c:pt idx="7">
                    <c:v>53258.5772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B!$F$21:$F$966</c:f>
              <c:numCache/>
            </c:numRef>
          </c:xVal>
          <c:yVal>
            <c:numRef>
              <c:f>B!$H$21:$H$966</c:f>
              <c:numCache/>
            </c:numRef>
          </c:yVal>
          <c:smooth val="0"/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B!$D$21:$D$85</c:f>
                <c:numCache>
                  <c:ptCount val="65"/>
                  <c:pt idx="0">
                    <c:v>0</c:v>
                  </c:pt>
                  <c:pt idx="1">
                    <c:v>0.0134</c:v>
                  </c:pt>
                  <c:pt idx="2">
                    <c:v>0.0023</c:v>
                  </c:pt>
                  <c:pt idx="3">
                    <c:v>0.0075</c:v>
                  </c:pt>
                  <c:pt idx="4">
                    <c:v>0.007</c:v>
                  </c:pt>
                  <c:pt idx="5">
                    <c:v>0.0024</c:v>
                  </c:pt>
                  <c:pt idx="6">
                    <c:v>0.0085</c:v>
                  </c:pt>
                  <c:pt idx="7">
                    <c:v>0.0013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B!$D$21:$D$85</c:f>
                <c:numCache>
                  <c:ptCount val="65"/>
                  <c:pt idx="0">
                    <c:v>0</c:v>
                  </c:pt>
                  <c:pt idx="1">
                    <c:v>0.0134</c:v>
                  </c:pt>
                  <c:pt idx="2">
                    <c:v>0.0023</c:v>
                  </c:pt>
                  <c:pt idx="3">
                    <c:v>0.0075</c:v>
                  </c:pt>
                  <c:pt idx="4">
                    <c:v>0.007</c:v>
                  </c:pt>
                  <c:pt idx="5">
                    <c:v>0.0024</c:v>
                  </c:pt>
                  <c:pt idx="6">
                    <c:v>0.0085</c:v>
                  </c:pt>
                  <c:pt idx="7">
                    <c:v>0.0013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B!$F$21:$F$966</c:f>
              <c:numCache/>
            </c:numRef>
          </c:xVal>
          <c:yVal>
            <c:numRef>
              <c:f>B!$I$21:$I$966</c:f>
              <c:numCache/>
            </c:numRef>
          </c:yVal>
          <c:smooth val="0"/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B!$D$21:$D$21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B!$F$21:$F$966</c:f>
              <c:numCache/>
            </c:numRef>
          </c:xVal>
          <c:yVal>
            <c:numRef>
              <c:f>B!$J$21:$J$966</c:f>
              <c:numCache/>
            </c:numRef>
          </c:yVal>
          <c:smooth val="0"/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B!$F$21:$F$966</c:f>
              <c:numCache/>
            </c:numRef>
          </c:xVal>
          <c:yVal>
            <c:numRef>
              <c:f>B!$K$21:$K$966</c:f>
              <c:numCache/>
            </c:numRef>
          </c:yVal>
          <c:smooth val="0"/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B!$F$21:$F$966</c:f>
              <c:numCache/>
            </c:numRef>
          </c:xVal>
          <c:yVal>
            <c:numRef>
              <c:f>B!$L$21:$L$966</c:f>
              <c:numCache/>
            </c:numRef>
          </c:yVal>
          <c:smooth val="0"/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B!$F$21:$F$966</c:f>
              <c:numCache/>
            </c:numRef>
          </c:xVal>
          <c:yVal>
            <c:numRef>
              <c:f>B!$M$21:$M$966</c:f>
              <c:numCache/>
            </c:numRef>
          </c:yVal>
          <c:smooth val="0"/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B!$F$21:$F$966</c:f>
              <c:numCache/>
            </c:numRef>
          </c:xVal>
          <c:yVal>
            <c:numRef>
              <c:f>B!$N$21:$N$966</c:f>
              <c:numCache/>
            </c:numRef>
          </c:yVal>
          <c:smooth val="0"/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B!$F$21:$F$966</c:f>
              <c:numCache/>
            </c:numRef>
          </c:xVal>
          <c:yVal>
            <c:numRef>
              <c:f>B!$O$21:$O$966</c:f>
              <c:numCache/>
            </c:numRef>
          </c:yVal>
          <c:smooth val="0"/>
        </c:ser>
        <c:axId val="59340687"/>
        <c:axId val="64304136"/>
      </c:scatterChart>
      <c:val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4136"/>
        <c:crosses val="autoZero"/>
        <c:crossBetween val="midCat"/>
        <c:dispUnits/>
      </c:valAx>
      <c:valAx>
        <c:axId val="64304136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3025"/>
          <c:w val="0.73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QX Cyg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2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C!$H$20:$H$20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C!$C$21:$C$1967</c:f>
                <c:numCache>
                  <c:ptCount val="946"/>
                  <c:pt idx="0">
                    <c:v>23352.335</c:v>
                  </c:pt>
                  <c:pt idx="1">
                    <c:v>51467.2123</c:v>
                  </c:pt>
                  <c:pt idx="2">
                    <c:v>51697.4865</c:v>
                  </c:pt>
                  <c:pt idx="3">
                    <c:v>51776.6348</c:v>
                  </c:pt>
                  <c:pt idx="4">
                    <c:v>51777.549</c:v>
                  </c:pt>
                  <c:pt idx="5">
                    <c:v>52440.4817</c:v>
                  </c:pt>
                  <c:pt idx="6">
                    <c:v>52507.4988</c:v>
                  </c:pt>
                  <c:pt idx="7">
                    <c:v>53258.5772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plus>
            <c:minus>
              <c:numRef>
                <c:f>C!$C$21:$C$1967</c:f>
                <c:numCache>
                  <c:ptCount val="946"/>
                  <c:pt idx="0">
                    <c:v>23352.335</c:v>
                  </c:pt>
                  <c:pt idx="1">
                    <c:v>51467.2123</c:v>
                  </c:pt>
                  <c:pt idx="2">
                    <c:v>51697.4865</c:v>
                  </c:pt>
                  <c:pt idx="3">
                    <c:v>51776.6348</c:v>
                  </c:pt>
                  <c:pt idx="4">
                    <c:v>51777.549</c:v>
                  </c:pt>
                  <c:pt idx="5">
                    <c:v>52440.4817</c:v>
                  </c:pt>
                  <c:pt idx="6">
                    <c:v>52507.4988</c:v>
                  </c:pt>
                  <c:pt idx="7">
                    <c:v>53258.5772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C!$F$21:$F$966</c:f>
              <c:numCache/>
            </c:numRef>
          </c:xVal>
          <c:yVal>
            <c:numRef>
              <c:f>C!$H$21:$H$966</c:f>
              <c:numCache/>
            </c:numRef>
          </c:yVal>
          <c:smooth val="0"/>
        </c:ser>
        <c:ser>
          <c:idx val="1"/>
          <c:order val="1"/>
          <c:tx>
            <c:strRef>
              <c:f>C!$I$20:$I$20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C!$D$21:$D$85</c:f>
                <c:numCache>
                  <c:ptCount val="65"/>
                  <c:pt idx="0">
                    <c:v>0</c:v>
                  </c:pt>
                  <c:pt idx="1">
                    <c:v>0.0134</c:v>
                  </c:pt>
                  <c:pt idx="2">
                    <c:v>0.0023</c:v>
                  </c:pt>
                  <c:pt idx="3">
                    <c:v>0.0075</c:v>
                  </c:pt>
                  <c:pt idx="4">
                    <c:v>0.007</c:v>
                  </c:pt>
                  <c:pt idx="5">
                    <c:v>0.0024</c:v>
                  </c:pt>
                  <c:pt idx="6">
                    <c:v>0.0085</c:v>
                  </c:pt>
                  <c:pt idx="7">
                    <c:v>0.0013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C!$D$21:$D$85</c:f>
                <c:numCache>
                  <c:ptCount val="65"/>
                  <c:pt idx="0">
                    <c:v>0</c:v>
                  </c:pt>
                  <c:pt idx="1">
                    <c:v>0.0134</c:v>
                  </c:pt>
                  <c:pt idx="2">
                    <c:v>0.0023</c:v>
                  </c:pt>
                  <c:pt idx="3">
                    <c:v>0.0075</c:v>
                  </c:pt>
                  <c:pt idx="4">
                    <c:v>0.007</c:v>
                  </c:pt>
                  <c:pt idx="5">
                    <c:v>0.0024</c:v>
                  </c:pt>
                  <c:pt idx="6">
                    <c:v>0.0085</c:v>
                  </c:pt>
                  <c:pt idx="7">
                    <c:v>0.0013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C!$F$21:$F$966</c:f>
              <c:numCache/>
            </c:numRef>
          </c:xVal>
          <c:yVal>
            <c:numRef>
              <c:f>C!$I$21:$I$966</c:f>
              <c:numCache/>
            </c:numRef>
          </c:yVal>
          <c:smooth val="0"/>
        </c:ser>
        <c:ser>
          <c:idx val="3"/>
          <c:order val="2"/>
          <c:tx>
            <c:strRef>
              <c:f>C!$J$20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C!$D$21:$D$21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C!$F$21:$F$966</c:f>
              <c:numCache/>
            </c:numRef>
          </c:xVal>
          <c:yVal>
            <c:numRef>
              <c:f>C!$J$21:$J$966</c:f>
              <c:numCache/>
            </c:numRef>
          </c:yVal>
          <c:smooth val="0"/>
        </c:ser>
        <c:ser>
          <c:idx val="4"/>
          <c:order val="3"/>
          <c:tx>
            <c:strRef>
              <c:f>C!$K$20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C!$F$21:$F$966</c:f>
              <c:numCache/>
            </c:numRef>
          </c:xVal>
          <c:yVal>
            <c:numRef>
              <c:f>C!$K$21:$K$966</c:f>
              <c:numCache/>
            </c:numRef>
          </c:yVal>
          <c:smooth val="0"/>
        </c:ser>
        <c:ser>
          <c:idx val="2"/>
          <c:order val="4"/>
          <c:tx>
            <c:strRef>
              <c:f>C!$L$20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C!$F$21:$F$966</c:f>
              <c:numCache/>
            </c:numRef>
          </c:xVal>
          <c:yVal>
            <c:numRef>
              <c:f>C!$L$21:$L$966</c:f>
              <c:numCache/>
            </c:numRef>
          </c:yVal>
          <c:smooth val="0"/>
        </c:ser>
        <c:ser>
          <c:idx val="5"/>
          <c:order val="5"/>
          <c:tx>
            <c:strRef>
              <c:f>C!$M$20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C!$F$21:$F$966</c:f>
              <c:numCache/>
            </c:numRef>
          </c:xVal>
          <c:yVal>
            <c:numRef>
              <c:f>C!$M$21:$M$966</c:f>
              <c:numCache/>
            </c:numRef>
          </c:yVal>
          <c:smooth val="0"/>
        </c:ser>
        <c:ser>
          <c:idx val="6"/>
          <c:order val="6"/>
          <c:tx>
            <c:strRef>
              <c:f>C!$N$20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C!$F$21:$F$966</c:f>
              <c:numCache/>
            </c:numRef>
          </c:xVal>
          <c:yVal>
            <c:numRef>
              <c:f>C!$N$21:$N$966</c:f>
              <c:numCache/>
            </c:numRef>
          </c:yVal>
          <c:smooth val="0"/>
        </c:ser>
        <c:ser>
          <c:idx val="7"/>
          <c:order val="7"/>
          <c:tx>
            <c:strRef>
              <c:f>C!$O$20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C!$F$21:$F$966</c:f>
              <c:numCache/>
            </c:numRef>
          </c:xVal>
          <c:yVal>
            <c:numRef>
              <c:f>C!$O$21:$O$966</c:f>
              <c:numCache/>
            </c:numRef>
          </c:yVal>
          <c:smooth val="0"/>
        </c:ser>
        <c:axId val="41866313"/>
        <c:axId val="41252498"/>
      </c:scatterChart>
      <c:valAx>
        <c:axId val="4186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2498"/>
        <c:crosses val="autoZero"/>
        <c:crossBetween val="midCat"/>
        <c:dispUnits/>
      </c:valAx>
      <c:valAx>
        <c:axId val="41252498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63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3025"/>
          <c:w val="0.73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16</xdr:col>
      <xdr:colOff>390525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91050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57150</xdr:colOff>
      <xdr:row>0</xdr:row>
      <xdr:rowOff>47625</xdr:rowOff>
    </xdr:from>
    <xdr:to>
      <xdr:col>26</xdr:col>
      <xdr:colOff>476250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11496675" y="47625"/>
        <a:ext cx="5905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19050</xdr:rowOff>
    </xdr:from>
    <xdr:to>
      <xdr:col>14</xdr:col>
      <xdr:colOff>200025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790825" y="19050"/>
        <a:ext cx="5895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19050</xdr:rowOff>
    </xdr:from>
    <xdr:to>
      <xdr:col>14</xdr:col>
      <xdr:colOff>200025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790825" y="19050"/>
        <a:ext cx="5895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19050</xdr:rowOff>
    </xdr:from>
    <xdr:to>
      <xdr:col>14</xdr:col>
      <xdr:colOff>200025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790825" y="19050"/>
        <a:ext cx="5895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87" TargetMode="External" /><Relationship Id="rId3" Type="http://schemas.openxmlformats.org/officeDocument/2006/relationships/hyperlink" Target="http://www.konkoly.hu/cgi-bin/IBVS?5287" TargetMode="External" /><Relationship Id="rId4" Type="http://schemas.openxmlformats.org/officeDocument/2006/relationships/hyperlink" Target="http://www.konkoly.hu/cgi-bin/IBVS?5287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www.konkoly.hu/cgi-bin/IBVS?5583" TargetMode="External" /><Relationship Id="rId8" Type="http://schemas.openxmlformats.org/officeDocument/2006/relationships/hyperlink" Target="http://www.konkoly.hu/cgi-bin/IBVS?5583" TargetMode="External" /><Relationship Id="rId9" Type="http://schemas.openxmlformats.org/officeDocument/2006/relationships/hyperlink" Target="http://www.bav-astro.de/sfs/BAVM_link.php?BAVMnr=173" TargetMode="External" /><Relationship Id="rId10" Type="http://schemas.openxmlformats.org/officeDocument/2006/relationships/hyperlink" Target="http://www.bav-astro.de/sfs/BAVM_link.php?BAVMnr=178" TargetMode="External" /><Relationship Id="rId11" Type="http://schemas.openxmlformats.org/officeDocument/2006/relationships/hyperlink" Target="http://www.bav-astro.de/sfs/BAVM_link.php?BAVMnr=234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34"/>
  <sheetViews>
    <sheetView tabSelected="1" zoomScalePageLayoutView="0" workbookViewId="0" topLeftCell="A1">
      <selection activeCell="E10" sqref="E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2" ht="12.75">
      <c r="A2" t="s">
        <v>25</v>
      </c>
      <c r="B2" s="11" t="s">
        <v>29</v>
      </c>
    </row>
    <row r="3" ht="13.5" thickBot="1"/>
    <row r="4" spans="1:4" ht="13.5" thickBot="1">
      <c r="A4" s="8" t="s">
        <v>0</v>
      </c>
      <c r="C4" s="12">
        <v>23352.335</v>
      </c>
      <c r="D4" s="13">
        <v>0.89961</v>
      </c>
    </row>
    <row r="5" spans="1:4" ht="12.75">
      <c r="A5" s="29" t="s">
        <v>43</v>
      </c>
      <c r="B5" s="27"/>
      <c r="C5" s="30">
        <v>-9.5</v>
      </c>
      <c r="D5" s="27" t="s">
        <v>44</v>
      </c>
    </row>
    <row r="6" ht="12.75">
      <c r="A6" s="8" t="s">
        <v>1</v>
      </c>
    </row>
    <row r="7" spans="1:3" ht="12.75">
      <c r="A7" t="s">
        <v>2</v>
      </c>
      <c r="C7">
        <f>+C4</f>
        <v>23352.335</v>
      </c>
    </row>
    <row r="8" spans="1:3" ht="12.75">
      <c r="A8" t="s">
        <v>3</v>
      </c>
      <c r="C8">
        <v>0.8995121940710977</v>
      </c>
    </row>
    <row r="9" spans="1:4" ht="12.75">
      <c r="A9" s="42" t="s">
        <v>49</v>
      </c>
      <c r="B9" s="43">
        <v>21</v>
      </c>
      <c r="C9" s="32" t="str">
        <f>"F"&amp;B9</f>
        <v>F21</v>
      </c>
      <c r="D9" s="22" t="str">
        <f>"G"&amp;B9</f>
        <v>G21</v>
      </c>
    </row>
    <row r="10" spans="1:5" ht="13.5" thickBot="1">
      <c r="A10" s="27"/>
      <c r="B10" s="27"/>
      <c r="C10" s="7" t="s">
        <v>20</v>
      </c>
      <c r="D10" s="7" t="s">
        <v>21</v>
      </c>
      <c r="E10" s="27"/>
    </row>
    <row r="11" spans="1:5" ht="12.75">
      <c r="A11" s="27" t="s">
        <v>15</v>
      </c>
      <c r="B11" s="27"/>
      <c r="C11" s="31">
        <f ca="1">INTERCEPT(INDIRECT($D$9):G992,INDIRECT($C$9):F992)</f>
        <v>0.12013469881916966</v>
      </c>
      <c r="D11" s="6"/>
      <c r="E11" s="27"/>
    </row>
    <row r="12" spans="1:5" ht="12.75">
      <c r="A12" s="27" t="s">
        <v>16</v>
      </c>
      <c r="B12" s="27"/>
      <c r="C12" s="31">
        <f ca="1">SLOPE(INDIRECT($D$9):G992,INDIRECT($C$9):F992)</f>
        <v>-1.2446986966249073E-05</v>
      </c>
      <c r="D12" s="6"/>
      <c r="E12" s="27"/>
    </row>
    <row r="13" spans="1:3" ht="12.75">
      <c r="A13" s="27" t="s">
        <v>19</v>
      </c>
      <c r="B13" s="27"/>
      <c r="C13" s="6" t="s">
        <v>31</v>
      </c>
    </row>
    <row r="14" spans="1:3" ht="12.75">
      <c r="A14" s="27"/>
      <c r="B14" s="27"/>
      <c r="C14" s="27"/>
    </row>
    <row r="15" spans="1:6" ht="12.75">
      <c r="A15" s="33" t="s">
        <v>17</v>
      </c>
      <c r="B15" s="27"/>
      <c r="C15" s="34">
        <f>(C7+C11)+(C8+C12)*INT(MAX(F21:F3533))</f>
        <v>54922.19775811058</v>
      </c>
      <c r="E15" s="35" t="s">
        <v>52</v>
      </c>
      <c r="F15" s="30">
        <v>1</v>
      </c>
    </row>
    <row r="16" spans="1:6" ht="12.75">
      <c r="A16" s="37" t="s">
        <v>4</v>
      </c>
      <c r="B16" s="27"/>
      <c r="C16" s="38">
        <f>+C8+C12</f>
        <v>0.8994997470841315</v>
      </c>
      <c r="E16" s="35" t="s">
        <v>45</v>
      </c>
      <c r="F16" s="36">
        <f ca="1">NOW()+15018.5+$C$5/24</f>
        <v>59896.759614930554</v>
      </c>
    </row>
    <row r="17" spans="1:6" ht="13.5" thickBot="1">
      <c r="A17" s="35" t="s">
        <v>47</v>
      </c>
      <c r="B17" s="27"/>
      <c r="C17" s="27">
        <f>COUNT(C21:C2191)</f>
        <v>13</v>
      </c>
      <c r="E17" s="35" t="s">
        <v>53</v>
      </c>
      <c r="F17" s="36">
        <f>ROUND(2*(F16-$C$7)/$C$8,0)/2+F15</f>
        <v>40628</v>
      </c>
    </row>
    <row r="18" spans="1:6" ht="14.25" thickBot="1" thickTop="1">
      <c r="A18" s="37" t="s">
        <v>5</v>
      </c>
      <c r="B18" s="27"/>
      <c r="C18" s="40">
        <f>+C15</f>
        <v>54922.19775811058</v>
      </c>
      <c r="D18" s="41">
        <f>+C16</f>
        <v>0.8994997470841315</v>
      </c>
      <c r="E18" s="35" t="s">
        <v>46</v>
      </c>
      <c r="F18" s="22">
        <f>ROUND(2*(F16-$C$15)/$C$16,0)/2+F15</f>
        <v>5531.5</v>
      </c>
    </row>
    <row r="19" spans="5:6" ht="13.5" thickTop="1">
      <c r="E19" s="35" t="s">
        <v>48</v>
      </c>
      <c r="F19" s="39">
        <f>+$C$15+$C$16*F18-15018.5-$C$5/24</f>
        <v>44879.67644243979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61</v>
      </c>
      <c r="I20" s="10" t="s">
        <v>64</v>
      </c>
      <c r="J20" s="10" t="s">
        <v>58</v>
      </c>
      <c r="K20" s="10" t="s">
        <v>51</v>
      </c>
      <c r="L20" s="10" t="s">
        <v>27</v>
      </c>
      <c r="M20" s="10" t="s">
        <v>28</v>
      </c>
      <c r="N20" s="10" t="s">
        <v>32</v>
      </c>
      <c r="O20" s="10" t="s">
        <v>23</v>
      </c>
      <c r="P20" s="9" t="s">
        <v>22</v>
      </c>
      <c r="Q20" s="7" t="s">
        <v>14</v>
      </c>
    </row>
    <row r="21" spans="1:17" ht="12.75">
      <c r="A21" s="14" t="s">
        <v>12</v>
      </c>
      <c r="B21" s="15" t="s">
        <v>30</v>
      </c>
      <c r="C21" s="14">
        <f>+C4</f>
        <v>23352.335</v>
      </c>
      <c r="D21" s="14" t="s">
        <v>31</v>
      </c>
      <c r="E21">
        <f aca="true" t="shared" si="0" ref="E21:E33">+(C21-C$7)/C$8</f>
        <v>0</v>
      </c>
      <c r="F21">
        <f>ROUND(2*E21,0)/2</f>
        <v>0</v>
      </c>
      <c r="H21">
        <v>0</v>
      </c>
      <c r="O21">
        <f aca="true" t="shared" si="1" ref="O21:O33">+C$11+C$12*$F21</f>
        <v>0.12013469881916966</v>
      </c>
      <c r="Q21" s="2">
        <f aca="true" t="shared" si="2" ref="Q21:Q33">+C21-15018.5</f>
        <v>8333.835</v>
      </c>
    </row>
    <row r="22" spans="1:17" ht="12.75">
      <c r="A22" s="67" t="s">
        <v>71</v>
      </c>
      <c r="B22" s="68" t="s">
        <v>37</v>
      </c>
      <c r="C22" s="67">
        <v>51358.393</v>
      </c>
      <c r="D22" s="67" t="s">
        <v>64</v>
      </c>
      <c r="E22">
        <f t="shared" si="0"/>
        <v>31134.717444182184</v>
      </c>
      <c r="F22">
        <f>ROUND(2*E22,0)/2+0.5</f>
        <v>31135</v>
      </c>
      <c r="G22">
        <f aca="true" t="shared" si="3" ref="G22:G33">+C22-(C$7+F22*C$8)</f>
        <v>-0.2541624036311987</v>
      </c>
      <c r="I22">
        <f>+G22</f>
        <v>-0.2541624036311987</v>
      </c>
      <c r="O22">
        <f t="shared" si="1"/>
        <v>-0.2674022403749952</v>
      </c>
      <c r="Q22" s="2">
        <f t="shared" si="2"/>
        <v>36339.893</v>
      </c>
    </row>
    <row r="23" spans="1:17" ht="12.75">
      <c r="A23" s="17" t="s">
        <v>34</v>
      </c>
      <c r="B23" s="18" t="s">
        <v>30</v>
      </c>
      <c r="C23" s="20">
        <v>51467.2123</v>
      </c>
      <c r="D23" s="20">
        <v>0.0134</v>
      </c>
      <c r="E23">
        <f t="shared" si="0"/>
        <v>31255.693347251934</v>
      </c>
      <c r="F23">
        <f aca="true" t="shared" si="4" ref="F23:F33">ROUND(2*E23,0)/2+0.5</f>
        <v>31256</v>
      </c>
      <c r="G23">
        <f t="shared" si="3"/>
        <v>-0.27583788623451255</v>
      </c>
      <c r="K23" s="23">
        <f>G23</f>
        <v>-0.27583788623451255</v>
      </c>
      <c r="O23">
        <f t="shared" si="1"/>
        <v>-0.26890832579791135</v>
      </c>
      <c r="Q23" s="2">
        <f t="shared" si="2"/>
        <v>36448.7123</v>
      </c>
    </row>
    <row r="24" spans="1:17" ht="12.75">
      <c r="A24" s="17" t="s">
        <v>35</v>
      </c>
      <c r="B24" s="18" t="s">
        <v>30</v>
      </c>
      <c r="C24" s="20">
        <v>51697.4865</v>
      </c>
      <c r="D24" s="20">
        <v>0.0023</v>
      </c>
      <c r="E24">
        <f t="shared" si="0"/>
        <v>31511.692322605235</v>
      </c>
      <c r="F24">
        <f t="shared" si="4"/>
        <v>31512</v>
      </c>
      <c r="G24">
        <f t="shared" si="3"/>
        <v>-0.2767595684272237</v>
      </c>
      <c r="K24" s="23">
        <f>G24</f>
        <v>-0.2767595684272237</v>
      </c>
      <c r="O24">
        <f t="shared" si="1"/>
        <v>-0.2720947544612711</v>
      </c>
      <c r="Q24" s="2">
        <f t="shared" si="2"/>
        <v>36678.9865</v>
      </c>
    </row>
    <row r="25" spans="1:17" ht="12.75">
      <c r="A25" s="17" t="s">
        <v>35</v>
      </c>
      <c r="B25" s="44" t="s">
        <v>30</v>
      </c>
      <c r="C25" s="45">
        <v>51776.6348</v>
      </c>
      <c r="D25" s="45">
        <v>0.0075</v>
      </c>
      <c r="E25">
        <f t="shared" si="0"/>
        <v>31599.682569454235</v>
      </c>
      <c r="F25">
        <f t="shared" si="4"/>
        <v>31600</v>
      </c>
      <c r="G25">
        <f t="shared" si="3"/>
        <v>-0.2855326466888073</v>
      </c>
      <c r="K25" s="23">
        <f>G25</f>
        <v>-0.2855326466888073</v>
      </c>
      <c r="O25">
        <f t="shared" si="1"/>
        <v>-0.27319008931430105</v>
      </c>
      <c r="Q25" s="2">
        <f t="shared" si="2"/>
        <v>36758.1348</v>
      </c>
    </row>
    <row r="26" spans="1:17" ht="12.75">
      <c r="A26" s="17" t="s">
        <v>35</v>
      </c>
      <c r="B26" s="44" t="s">
        <v>30</v>
      </c>
      <c r="C26" s="45">
        <v>51777.549</v>
      </c>
      <c r="D26" s="45">
        <v>0.007</v>
      </c>
      <c r="E26">
        <f t="shared" si="0"/>
        <v>31600.698898088827</v>
      </c>
      <c r="F26">
        <f t="shared" si="4"/>
        <v>31601</v>
      </c>
      <c r="G26">
        <f t="shared" si="3"/>
        <v>-0.2708448407574906</v>
      </c>
      <c r="K26" s="23">
        <f>G26</f>
        <v>-0.2708448407574906</v>
      </c>
      <c r="O26">
        <f t="shared" si="1"/>
        <v>-0.2732025363012673</v>
      </c>
      <c r="Q26" s="2">
        <f t="shared" si="2"/>
        <v>36759.049</v>
      </c>
    </row>
    <row r="27" spans="1:17" ht="12.75">
      <c r="A27" s="17" t="s">
        <v>50</v>
      </c>
      <c r="B27" s="46" t="s">
        <v>30</v>
      </c>
      <c r="C27" s="17">
        <v>52127.4455</v>
      </c>
      <c r="D27" s="17" t="s">
        <v>51</v>
      </c>
      <c r="E27">
        <f t="shared" si="0"/>
        <v>31989.683619259096</v>
      </c>
      <c r="F27">
        <f t="shared" si="4"/>
        <v>31990</v>
      </c>
      <c r="G27">
        <f t="shared" si="3"/>
        <v>-0.28458833441254683</v>
      </c>
      <c r="K27">
        <f>+G27</f>
        <v>-0.28458833441254683</v>
      </c>
      <c r="O27">
        <f t="shared" si="1"/>
        <v>-0.2780444142311382</v>
      </c>
      <c r="Q27" s="2">
        <f t="shared" si="2"/>
        <v>37108.9455</v>
      </c>
    </row>
    <row r="28" spans="1:17" ht="12.75">
      <c r="A28" s="17" t="s">
        <v>50</v>
      </c>
      <c r="B28" s="46" t="s">
        <v>30</v>
      </c>
      <c r="C28" s="17">
        <v>52413.4951</v>
      </c>
      <c r="D28" s="17" t="s">
        <v>51</v>
      </c>
      <c r="E28">
        <f t="shared" si="0"/>
        <v>32307.688869088302</v>
      </c>
      <c r="F28">
        <f t="shared" si="4"/>
        <v>32308</v>
      </c>
      <c r="G28">
        <f t="shared" si="3"/>
        <v>-0.2798660490225302</v>
      </c>
      <c r="K28">
        <f>+G28</f>
        <v>-0.2798660490225302</v>
      </c>
      <c r="O28">
        <f t="shared" si="1"/>
        <v>-0.2820025560864054</v>
      </c>
      <c r="Q28" s="2">
        <f t="shared" si="2"/>
        <v>37394.9951</v>
      </c>
    </row>
    <row r="29" spans="1:17" ht="12.75">
      <c r="A29" s="45" t="s">
        <v>36</v>
      </c>
      <c r="B29" s="44" t="s">
        <v>30</v>
      </c>
      <c r="C29" s="45">
        <v>52440.4817</v>
      </c>
      <c r="D29" s="45">
        <v>0.0024</v>
      </c>
      <c r="E29">
        <f t="shared" si="0"/>
        <v>32337.690241140703</v>
      </c>
      <c r="F29">
        <f t="shared" si="4"/>
        <v>32338</v>
      </c>
      <c r="G29">
        <f t="shared" si="3"/>
        <v>-0.27863187116599875</v>
      </c>
      <c r="K29">
        <f>+G29</f>
        <v>-0.27863187116599875</v>
      </c>
      <c r="O29">
        <f t="shared" si="1"/>
        <v>-0.28237596569539286</v>
      </c>
      <c r="Q29" s="2">
        <f t="shared" si="2"/>
        <v>37421.9817</v>
      </c>
    </row>
    <row r="30" spans="1:17" ht="12.75">
      <c r="A30" s="45" t="s">
        <v>36</v>
      </c>
      <c r="B30" s="44" t="s">
        <v>37</v>
      </c>
      <c r="C30" s="45">
        <v>52507.4988</v>
      </c>
      <c r="D30" s="45">
        <v>0.0085</v>
      </c>
      <c r="E30">
        <f t="shared" si="0"/>
        <v>32412.194067149656</v>
      </c>
      <c r="F30">
        <f t="shared" si="4"/>
        <v>32412.5</v>
      </c>
      <c r="G30">
        <f t="shared" si="3"/>
        <v>-0.27519032945565414</v>
      </c>
      <c r="K30">
        <f>+G30</f>
        <v>-0.27519032945565414</v>
      </c>
      <c r="O30">
        <f t="shared" si="1"/>
        <v>-0.2833032662243784</v>
      </c>
      <c r="Q30" s="2">
        <f t="shared" si="2"/>
        <v>37488.9988</v>
      </c>
    </row>
    <row r="31" spans="1:17" ht="12.75">
      <c r="A31" s="47" t="s">
        <v>41</v>
      </c>
      <c r="B31" s="48"/>
      <c r="C31" s="49">
        <v>53258.5772</v>
      </c>
      <c r="D31" s="49">
        <v>0.0013</v>
      </c>
      <c r="E31">
        <f t="shared" si="0"/>
        <v>33247.17818960018</v>
      </c>
      <c r="F31">
        <f t="shared" si="4"/>
        <v>33247.5</v>
      </c>
      <c r="G31">
        <f t="shared" si="3"/>
        <v>-0.2894723788194824</v>
      </c>
      <c r="J31">
        <f>+G31</f>
        <v>-0.2894723788194824</v>
      </c>
      <c r="O31">
        <f t="shared" si="1"/>
        <v>-0.29369650034119643</v>
      </c>
      <c r="Q31" s="2">
        <f t="shared" si="2"/>
        <v>38240.0772</v>
      </c>
    </row>
    <row r="32" spans="1:17" ht="12.75">
      <c r="A32" s="17" t="s">
        <v>42</v>
      </c>
      <c r="B32" s="46" t="s">
        <v>30</v>
      </c>
      <c r="C32" s="17">
        <v>53612.5263</v>
      </c>
      <c r="D32" s="17">
        <v>0.0037</v>
      </c>
      <c r="E32">
        <f t="shared" si="0"/>
        <v>33640.66824157831</v>
      </c>
      <c r="F32">
        <f t="shared" si="4"/>
        <v>33641</v>
      </c>
      <c r="G32">
        <f t="shared" si="3"/>
        <v>-0.29842074579937616</v>
      </c>
      <c r="J32">
        <f>+G32</f>
        <v>-0.29842074579937616</v>
      </c>
      <c r="O32">
        <f t="shared" si="1"/>
        <v>-0.2985943897124154</v>
      </c>
      <c r="Q32" s="2">
        <f t="shared" si="2"/>
        <v>38594.0263</v>
      </c>
    </row>
    <row r="33" spans="1:17" ht="12.75">
      <c r="A33" s="50" t="s">
        <v>54</v>
      </c>
      <c r="B33" s="51" t="s">
        <v>37</v>
      </c>
      <c r="C33" s="52">
        <v>54922.644</v>
      </c>
      <c r="D33" s="53">
        <v>0.006</v>
      </c>
      <c r="E33">
        <f t="shared" si="0"/>
        <v>35097.14399436443</v>
      </c>
      <c r="F33">
        <f t="shared" si="4"/>
        <v>35097.5</v>
      </c>
      <c r="G33">
        <f t="shared" si="3"/>
        <v>-0.32023141035460867</v>
      </c>
      <c r="J33">
        <f>+G33</f>
        <v>-0.32023141035460867</v>
      </c>
      <c r="O33">
        <f t="shared" si="1"/>
        <v>-0.3167234262287572</v>
      </c>
      <c r="Q33" s="2">
        <f t="shared" si="2"/>
        <v>39904.144</v>
      </c>
    </row>
    <row r="34" spans="1:17" ht="12.75">
      <c r="A34" s="27"/>
      <c r="B34" s="28"/>
      <c r="C34" s="26"/>
      <c r="D34" s="26"/>
      <c r="Q34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6" sqref="A26:IV2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2" ht="12.75">
      <c r="A2" t="s">
        <v>25</v>
      </c>
      <c r="B2" s="11" t="s">
        <v>29</v>
      </c>
    </row>
    <row r="3" ht="13.5" thickBot="1"/>
    <row r="4" spans="1:4" ht="13.5" thickBot="1">
      <c r="A4" s="8" t="s">
        <v>0</v>
      </c>
      <c r="C4" s="12">
        <v>23352.335</v>
      </c>
      <c r="D4" s="13">
        <v>0.89961</v>
      </c>
    </row>
    <row r="5" ht="12.75">
      <c r="D5" s="22" t="s">
        <v>38</v>
      </c>
    </row>
    <row r="6" ht="12.75">
      <c r="A6" s="8" t="s">
        <v>1</v>
      </c>
    </row>
    <row r="7" spans="1:3" ht="12.75">
      <c r="A7" t="s">
        <v>2</v>
      </c>
      <c r="C7">
        <f>+C4</f>
        <v>23352.335</v>
      </c>
    </row>
    <row r="8" spans="1:3" ht="12.75">
      <c r="A8" t="s">
        <v>3</v>
      </c>
      <c r="C8">
        <f>+D4</f>
        <v>0.89961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15</v>
      </c>
      <c r="C11">
        <f>INTERCEPT(G21:G981,$F21:$F981)</f>
        <v>-0.013181719970566193</v>
      </c>
      <c r="D11" s="6"/>
    </row>
    <row r="12" spans="1:4" ht="12.75">
      <c r="A12" t="s">
        <v>16</v>
      </c>
      <c r="C12">
        <f>SLOPE(G21:G981,$F21:$F981)</f>
        <v>3.909465226550962E-07</v>
      </c>
      <c r="D12" s="6"/>
    </row>
    <row r="13" spans="1:4" ht="12.75">
      <c r="A13" t="s">
        <v>19</v>
      </c>
      <c r="C13" s="6"/>
      <c r="D13" s="6"/>
    </row>
    <row r="14" ht="12.75">
      <c r="A14" t="s">
        <v>24</v>
      </c>
    </row>
    <row r="15" spans="1:4" ht="12.75">
      <c r="A15" s="3" t="s">
        <v>17</v>
      </c>
      <c r="C15" s="16">
        <f>+D15+C8/2</f>
        <v>52507.948605</v>
      </c>
      <c r="D15" s="19">
        <v>52507.4988</v>
      </c>
    </row>
    <row r="16" spans="1:3" ht="12.75">
      <c r="A16" s="8" t="s">
        <v>4</v>
      </c>
      <c r="C16">
        <f>+C8+C12</f>
        <v>0.8996103909465227</v>
      </c>
    </row>
    <row r="17" ht="13.5" thickBot="1"/>
    <row r="18" spans="1:4" ht="12.75">
      <c r="A18" s="8" t="s">
        <v>5</v>
      </c>
      <c r="C18" s="4">
        <f>+C15</f>
        <v>52507.948605</v>
      </c>
      <c r="D18" s="5">
        <f>+C16</f>
        <v>0.8996103909465227</v>
      </c>
    </row>
    <row r="19" ht="13.5" thickTop="1">
      <c r="C19">
        <f>COUNT(C21:C2720)</f>
        <v>8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39</v>
      </c>
      <c r="J20" s="10" t="s">
        <v>18</v>
      </c>
      <c r="K20" s="10" t="s">
        <v>26</v>
      </c>
      <c r="L20" s="10" t="s">
        <v>27</v>
      </c>
      <c r="M20" s="10" t="s">
        <v>28</v>
      </c>
      <c r="N20" s="10" t="s">
        <v>32</v>
      </c>
      <c r="O20" s="10" t="s">
        <v>23</v>
      </c>
      <c r="P20" s="9" t="s">
        <v>22</v>
      </c>
      <c r="Q20" s="7" t="s">
        <v>14</v>
      </c>
    </row>
    <row r="21" spans="1:17" ht="12.75">
      <c r="A21" s="14" t="s">
        <v>12</v>
      </c>
      <c r="B21" s="15" t="s">
        <v>30</v>
      </c>
      <c r="C21" s="16">
        <f>+C4</f>
        <v>23352.335</v>
      </c>
      <c r="D21" s="15" t="s">
        <v>31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-0.013181719970566193</v>
      </c>
      <c r="Q21" s="2">
        <f>+C21-15018.5</f>
        <v>8333.835</v>
      </c>
    </row>
    <row r="22" spans="1:17" ht="12.75">
      <c r="A22" s="17" t="s">
        <v>34</v>
      </c>
      <c r="B22" s="18" t="s">
        <v>30</v>
      </c>
      <c r="C22" s="19">
        <v>51467.2123</v>
      </c>
      <c r="D22" s="18">
        <v>0.0134</v>
      </c>
      <c r="E22">
        <f aca="true" t="shared" si="0" ref="E22:E28">+(C22-C$7)/C$8</f>
        <v>31252.295216816176</v>
      </c>
      <c r="F22">
        <f aca="true" t="shared" si="1" ref="F22:F28">ROUND(2*E22,0)/2</f>
        <v>31252.5</v>
      </c>
      <c r="G22">
        <f aca="true" t="shared" si="2" ref="G22:G28">+C22-(C$7+F22*C$8)</f>
        <v>-0.18422500000451691</v>
      </c>
      <c r="I22">
        <f aca="true" t="shared" si="3" ref="I22:I27">+G22</f>
        <v>-0.18422500000451691</v>
      </c>
      <c r="O22">
        <f aca="true" t="shared" si="4" ref="O22:O28">+C$11+C$12*$F22</f>
        <v>-0.0009636637712877993</v>
      </c>
      <c r="Q22" s="2">
        <f aca="true" t="shared" si="5" ref="Q22:Q28">+C22-15018.5</f>
        <v>36448.7123</v>
      </c>
    </row>
    <row r="23" spans="1:17" ht="12.75">
      <c r="A23" s="17" t="s">
        <v>35</v>
      </c>
      <c r="B23" s="18" t="s">
        <v>30</v>
      </c>
      <c r="C23" s="19">
        <v>51697.4865</v>
      </c>
      <c r="D23" s="18">
        <v>0.0023</v>
      </c>
      <c r="E23">
        <f t="shared" si="0"/>
        <v>31508.26635986705</v>
      </c>
      <c r="F23">
        <f t="shared" si="1"/>
        <v>31508.5</v>
      </c>
      <c r="G23">
        <f t="shared" si="2"/>
        <v>-0.21018500000354834</v>
      </c>
      <c r="I23">
        <f t="shared" si="3"/>
        <v>-0.21018500000354834</v>
      </c>
      <c r="O23">
        <f t="shared" si="4"/>
        <v>-0.0008635814614880947</v>
      </c>
      <c r="Q23" s="2">
        <f t="shared" si="5"/>
        <v>36678.9865</v>
      </c>
    </row>
    <row r="24" spans="1:17" ht="12.75">
      <c r="A24" s="17" t="s">
        <v>35</v>
      </c>
      <c r="B24" s="18" t="s">
        <v>30</v>
      </c>
      <c r="C24" s="19">
        <v>51776.6348</v>
      </c>
      <c r="D24" s="18">
        <v>0.0075</v>
      </c>
      <c r="E24">
        <f t="shared" si="0"/>
        <v>31596.247040384165</v>
      </c>
      <c r="F24">
        <f t="shared" si="1"/>
        <v>31596</v>
      </c>
      <c r="G24">
        <f t="shared" si="2"/>
        <v>0.22224000000278465</v>
      </c>
      <c r="I24">
        <f t="shared" si="3"/>
        <v>0.22224000000278465</v>
      </c>
      <c r="O24">
        <f t="shared" si="4"/>
        <v>-0.0008293736407557727</v>
      </c>
      <c r="Q24" s="2">
        <f t="shared" si="5"/>
        <v>36758.1348</v>
      </c>
    </row>
    <row r="25" spans="1:17" ht="12.75">
      <c r="A25" s="17" t="s">
        <v>35</v>
      </c>
      <c r="B25" s="18" t="s">
        <v>30</v>
      </c>
      <c r="C25" s="19">
        <v>51777.549</v>
      </c>
      <c r="D25" s="18">
        <v>0.007</v>
      </c>
      <c r="E25">
        <f t="shared" si="0"/>
        <v>31597.263258523137</v>
      </c>
      <c r="F25">
        <f t="shared" si="1"/>
        <v>31597.5</v>
      </c>
      <c r="G25">
        <f t="shared" si="2"/>
        <v>-0.2129750000021886</v>
      </c>
      <c r="I25">
        <f t="shared" si="3"/>
        <v>-0.2129750000021886</v>
      </c>
      <c r="O25">
        <f t="shared" si="4"/>
        <v>-0.0008287872209717904</v>
      </c>
      <c r="Q25" s="2">
        <f t="shared" si="5"/>
        <v>36759.049</v>
      </c>
    </row>
    <row r="26" spans="1:17" ht="12.75">
      <c r="A26" s="20" t="s">
        <v>36</v>
      </c>
      <c r="B26" s="18" t="s">
        <v>30</v>
      </c>
      <c r="C26" s="19">
        <v>52440.4817</v>
      </c>
      <c r="D26" s="18">
        <v>0.0024</v>
      </c>
      <c r="E26">
        <f t="shared" si="0"/>
        <v>32334.17447560609</v>
      </c>
      <c r="F26">
        <f t="shared" si="1"/>
        <v>32334</v>
      </c>
      <c r="G26">
        <f t="shared" si="2"/>
        <v>0.15696000000025379</v>
      </c>
      <c r="I26">
        <f t="shared" si="3"/>
        <v>0.15696000000025379</v>
      </c>
      <c r="O26">
        <f t="shared" si="4"/>
        <v>-0.0005408551070363119</v>
      </c>
      <c r="Q26" s="2">
        <f t="shared" si="5"/>
        <v>37421.9817</v>
      </c>
    </row>
    <row r="27" spans="1:17" ht="12.75">
      <c r="A27" s="20" t="s">
        <v>36</v>
      </c>
      <c r="B27" s="18" t="s">
        <v>37</v>
      </c>
      <c r="C27" s="19">
        <v>52507.4988</v>
      </c>
      <c r="D27" s="21">
        <v>0.0085</v>
      </c>
      <c r="E27">
        <f t="shared" si="0"/>
        <v>32408.670201531775</v>
      </c>
      <c r="F27">
        <f t="shared" si="1"/>
        <v>32408.5</v>
      </c>
      <c r="G27">
        <f t="shared" si="2"/>
        <v>0.15311500000098022</v>
      </c>
      <c r="I27">
        <f t="shared" si="3"/>
        <v>0.15311500000098022</v>
      </c>
      <c r="O27">
        <f t="shared" si="4"/>
        <v>-0.0005117295910985076</v>
      </c>
      <c r="Q27" s="2">
        <f t="shared" si="5"/>
        <v>37488.9988</v>
      </c>
    </row>
    <row r="28" spans="1:17" ht="12.75">
      <c r="A28" s="24" t="s">
        <v>41</v>
      </c>
      <c r="B28" s="25"/>
      <c r="C28" s="26">
        <v>53258.5772</v>
      </c>
      <c r="D28" s="26">
        <v>0.0013</v>
      </c>
      <c r="E28">
        <f t="shared" si="0"/>
        <v>33243.56354420249</v>
      </c>
      <c r="F28">
        <f t="shared" si="1"/>
        <v>33243.5</v>
      </c>
      <c r="G28">
        <f t="shared" si="2"/>
        <v>0.05716499999834923</v>
      </c>
      <c r="I28">
        <f>+G28</f>
        <v>0.05716499999834923</v>
      </c>
      <c r="O28">
        <f t="shared" si="4"/>
        <v>-0.00018528924468150243</v>
      </c>
      <c r="Q28" s="2">
        <f t="shared" si="5"/>
        <v>38240.0772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8" sqref="A28:IV2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2" ht="12.75">
      <c r="A2" t="s">
        <v>25</v>
      </c>
      <c r="B2" s="11" t="s">
        <v>29</v>
      </c>
    </row>
    <row r="3" ht="13.5" thickBot="1"/>
    <row r="4" spans="1:4" ht="13.5" thickBot="1">
      <c r="A4" s="8" t="s">
        <v>0</v>
      </c>
      <c r="C4" s="12">
        <v>23352.335</v>
      </c>
      <c r="D4" s="13">
        <v>0.89961</v>
      </c>
    </row>
    <row r="5" ht="12.75">
      <c r="D5" s="22" t="s">
        <v>38</v>
      </c>
    </row>
    <row r="6" ht="12.75">
      <c r="A6" s="8" t="s">
        <v>1</v>
      </c>
    </row>
    <row r="7" spans="1:3" ht="12.75">
      <c r="A7" t="s">
        <v>2</v>
      </c>
      <c r="C7">
        <f>+C4</f>
        <v>23352.335</v>
      </c>
    </row>
    <row r="8" spans="1:3" ht="12.75">
      <c r="A8" t="s">
        <v>3</v>
      </c>
      <c r="C8">
        <f>+D4</f>
        <v>0.89961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15</v>
      </c>
      <c r="C11">
        <f>INTERCEPT(G21:G981,$F21:$F981)</f>
        <v>3.776546413416741</v>
      </c>
      <c r="D11" s="6"/>
    </row>
    <row r="12" spans="1:4" ht="12.75">
      <c r="A12" t="s">
        <v>16</v>
      </c>
      <c r="C12">
        <f>SLOPE(G21:G981,$F21:$F981)</f>
        <v>-0.00011187719919427918</v>
      </c>
      <c r="D12" s="6"/>
    </row>
    <row r="13" spans="1:4" ht="12.75">
      <c r="A13" t="s">
        <v>19</v>
      </c>
      <c r="C13" s="6"/>
      <c r="D13" s="6"/>
    </row>
    <row r="14" ht="12.75">
      <c r="A14" t="s">
        <v>24</v>
      </c>
    </row>
    <row r="15" spans="1:4" ht="12.75">
      <c r="A15" s="3" t="s">
        <v>17</v>
      </c>
      <c r="C15" s="16">
        <f>+D15+C8/2</f>
        <v>52507.948605</v>
      </c>
      <c r="D15" s="19">
        <v>52507.4988</v>
      </c>
    </row>
    <row r="16" spans="1:3" ht="12.75">
      <c r="A16" s="8" t="s">
        <v>4</v>
      </c>
      <c r="C16">
        <f>+C8+C12</f>
        <v>0.8994981228008058</v>
      </c>
    </row>
    <row r="17" ht="13.5" thickBot="1"/>
    <row r="18" spans="1:4" ht="12.75">
      <c r="A18" s="8" t="s">
        <v>5</v>
      </c>
      <c r="C18" s="4">
        <f>+C15</f>
        <v>52507.948605</v>
      </c>
      <c r="D18" s="5">
        <f>+C16</f>
        <v>0.8994981228008058</v>
      </c>
    </row>
    <row r="19" ht="13.5" thickTop="1">
      <c r="C19">
        <f>COUNT(C21:C2720)</f>
        <v>8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39</v>
      </c>
      <c r="J20" s="10" t="s">
        <v>18</v>
      </c>
      <c r="K20" s="10" t="s">
        <v>26</v>
      </c>
      <c r="L20" s="10" t="s">
        <v>27</v>
      </c>
      <c r="M20" s="10" t="s">
        <v>28</v>
      </c>
      <c r="N20" s="10" t="s">
        <v>32</v>
      </c>
      <c r="O20" s="10" t="s">
        <v>23</v>
      </c>
      <c r="P20" s="9" t="s">
        <v>22</v>
      </c>
      <c r="Q20" s="7" t="s">
        <v>14</v>
      </c>
    </row>
    <row r="21" spans="1:17" ht="12.75">
      <c r="A21" s="14" t="s">
        <v>12</v>
      </c>
      <c r="B21" s="15" t="s">
        <v>30</v>
      </c>
      <c r="C21" s="16">
        <f>+C4</f>
        <v>23352.335</v>
      </c>
      <c r="D21" s="15" t="s">
        <v>31</v>
      </c>
      <c r="E21">
        <f aca="true" t="shared" si="0" ref="E21:E28">+(C21-C$7)/C$8</f>
        <v>0</v>
      </c>
      <c r="F21">
        <f aca="true" t="shared" si="1" ref="F21:F28">ROUND(2*E21,0)/2</f>
        <v>0</v>
      </c>
      <c r="H21">
        <v>0</v>
      </c>
      <c r="O21">
        <f aca="true" t="shared" si="2" ref="O21:O28">+C$11+C$12*$F21</f>
        <v>3.776546413416741</v>
      </c>
      <c r="Q21" s="2">
        <f aca="true" t="shared" si="3" ref="Q21:Q28">+C21-15018.5</f>
        <v>8333.835</v>
      </c>
    </row>
    <row r="22" spans="1:17" ht="12.75">
      <c r="A22" s="17" t="s">
        <v>34</v>
      </c>
      <c r="B22" s="18" t="s">
        <v>30</v>
      </c>
      <c r="C22" s="19">
        <v>51467.2123</v>
      </c>
      <c r="D22" s="18">
        <v>0.0134</v>
      </c>
      <c r="E22">
        <f t="shared" si="0"/>
        <v>31252.295216816176</v>
      </c>
      <c r="F22">
        <f t="shared" si="1"/>
        <v>31252.5</v>
      </c>
      <c r="I22" s="22">
        <v>-0.18422500000451691</v>
      </c>
      <c r="O22">
        <f t="shared" si="2"/>
        <v>0.2801042455975309</v>
      </c>
      <c r="Q22" s="2">
        <f t="shared" si="3"/>
        <v>36448.7123</v>
      </c>
    </row>
    <row r="23" spans="1:17" ht="12.75">
      <c r="A23" s="17" t="s">
        <v>35</v>
      </c>
      <c r="B23" s="18" t="s">
        <v>30</v>
      </c>
      <c r="C23" s="19">
        <v>51697.4865</v>
      </c>
      <c r="D23" s="18">
        <v>0.0023</v>
      </c>
      <c r="E23">
        <f t="shared" si="0"/>
        <v>31508.26635986705</v>
      </c>
      <c r="F23">
        <f t="shared" si="1"/>
        <v>31508.5</v>
      </c>
      <c r="I23" s="22">
        <v>-0.21018500000354834</v>
      </c>
      <c r="O23">
        <f t="shared" si="2"/>
        <v>0.2514636826037955</v>
      </c>
      <c r="Q23" s="2">
        <f t="shared" si="3"/>
        <v>36678.9865</v>
      </c>
    </row>
    <row r="24" spans="1:17" ht="12.75">
      <c r="A24" s="17" t="s">
        <v>35</v>
      </c>
      <c r="B24" s="18" t="s">
        <v>30</v>
      </c>
      <c r="C24" s="19">
        <v>51776.6348</v>
      </c>
      <c r="D24" s="18">
        <v>0.0075</v>
      </c>
      <c r="E24">
        <f t="shared" si="0"/>
        <v>31596.247040384165</v>
      </c>
      <c r="F24">
        <f t="shared" si="1"/>
        <v>31596</v>
      </c>
      <c r="I24" s="22">
        <v>0.22224000000278465</v>
      </c>
      <c r="O24">
        <f t="shared" si="2"/>
        <v>0.24167442767429614</v>
      </c>
      <c r="Q24" s="2">
        <f t="shared" si="3"/>
        <v>36758.1348</v>
      </c>
    </row>
    <row r="25" spans="1:17" ht="12.75">
      <c r="A25" s="17" t="s">
        <v>35</v>
      </c>
      <c r="B25" s="18" t="s">
        <v>30</v>
      </c>
      <c r="C25" s="19">
        <v>51777.549</v>
      </c>
      <c r="D25" s="18">
        <v>0.007</v>
      </c>
      <c r="E25">
        <f t="shared" si="0"/>
        <v>31597.263258523137</v>
      </c>
      <c r="F25">
        <f t="shared" si="1"/>
        <v>31597.5</v>
      </c>
      <c r="I25" s="22">
        <v>-0.2129750000021886</v>
      </c>
      <c r="O25">
        <f t="shared" si="2"/>
        <v>0.2415066118755047</v>
      </c>
      <c r="Q25" s="2">
        <f t="shared" si="3"/>
        <v>36759.049</v>
      </c>
    </row>
    <row r="26" spans="1:17" ht="12.75">
      <c r="A26" s="20" t="s">
        <v>36</v>
      </c>
      <c r="B26" s="18" t="s">
        <v>30</v>
      </c>
      <c r="C26" s="19">
        <v>52440.4817</v>
      </c>
      <c r="D26" s="18">
        <v>0.0024</v>
      </c>
      <c r="E26">
        <f t="shared" si="0"/>
        <v>32334.17447560609</v>
      </c>
      <c r="F26">
        <f t="shared" si="1"/>
        <v>32334</v>
      </c>
      <c r="G26">
        <f>+C26-(C$7+F26*C$8)</f>
        <v>0.15696000000025379</v>
      </c>
      <c r="I26">
        <f>+G26</f>
        <v>0.15696000000025379</v>
      </c>
      <c r="O26">
        <f t="shared" si="2"/>
        <v>0.15910905466891778</v>
      </c>
      <c r="Q26" s="2">
        <f t="shared" si="3"/>
        <v>37421.9817</v>
      </c>
    </row>
    <row r="27" spans="1:17" ht="12.75">
      <c r="A27" s="20" t="s">
        <v>36</v>
      </c>
      <c r="B27" s="18" t="s">
        <v>37</v>
      </c>
      <c r="C27" s="19">
        <v>52507.4988</v>
      </c>
      <c r="D27" s="18">
        <v>0.0085</v>
      </c>
      <c r="E27">
        <f t="shared" si="0"/>
        <v>32408.670201531775</v>
      </c>
      <c r="F27">
        <f t="shared" si="1"/>
        <v>32408.5</v>
      </c>
      <c r="G27">
        <f>+C27-(C$7+F27*C$8)</f>
        <v>0.15311500000098022</v>
      </c>
      <c r="I27">
        <f>+G27</f>
        <v>0.15311500000098022</v>
      </c>
      <c r="O27">
        <f t="shared" si="2"/>
        <v>0.1507742033289441</v>
      </c>
      <c r="Q27" s="2">
        <f t="shared" si="3"/>
        <v>37488.9988</v>
      </c>
    </row>
    <row r="28" spans="1:17" ht="12.75">
      <c r="A28" s="24" t="s">
        <v>41</v>
      </c>
      <c r="B28" s="25"/>
      <c r="C28" s="26">
        <v>53258.5772</v>
      </c>
      <c r="D28" s="26">
        <v>0.0013</v>
      </c>
      <c r="E28">
        <f t="shared" si="0"/>
        <v>33243.56354420249</v>
      </c>
      <c r="F28">
        <f t="shared" si="1"/>
        <v>33243.5</v>
      </c>
      <c r="G28">
        <f>+C28-(C$7+F28*C$8)</f>
        <v>0.05716499999834923</v>
      </c>
      <c r="I28">
        <f>+G28</f>
        <v>0.05716499999834923</v>
      </c>
      <c r="O28">
        <f t="shared" si="2"/>
        <v>0.05735674200172092</v>
      </c>
      <c r="Q28" s="2">
        <f t="shared" si="3"/>
        <v>38240.0772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0"/>
  <sheetViews>
    <sheetView zoomScalePageLayoutView="0" workbookViewId="0" topLeftCell="A1">
      <selection activeCell="A11" sqref="A11:D11"/>
    </sheetView>
  </sheetViews>
  <sheetFormatPr defaultColWidth="9.140625" defaultRowHeight="12.75"/>
  <cols>
    <col min="1" max="1" width="19.7109375" style="26" customWidth="1"/>
    <col min="2" max="2" width="4.421875" style="27" customWidth="1"/>
    <col min="3" max="3" width="12.7109375" style="26" customWidth="1"/>
    <col min="4" max="4" width="5.421875" style="27" customWidth="1"/>
    <col min="5" max="5" width="14.8515625" style="27" customWidth="1"/>
    <col min="6" max="6" width="9.140625" style="27" customWidth="1"/>
    <col min="7" max="7" width="12.00390625" style="27" customWidth="1"/>
    <col min="8" max="8" width="14.140625" style="26" customWidth="1"/>
    <col min="9" max="9" width="22.57421875" style="27" customWidth="1"/>
    <col min="10" max="10" width="25.140625" style="27" customWidth="1"/>
    <col min="11" max="11" width="15.7109375" style="27" customWidth="1"/>
    <col min="12" max="12" width="14.140625" style="27" customWidth="1"/>
    <col min="13" max="13" width="9.57421875" style="27" customWidth="1"/>
    <col min="14" max="14" width="14.140625" style="27" customWidth="1"/>
    <col min="15" max="15" width="23.421875" style="27" customWidth="1"/>
    <col min="16" max="16" width="16.57421875" style="27" customWidth="1"/>
    <col min="17" max="17" width="41.00390625" style="27" customWidth="1"/>
    <col min="18" max="16384" width="9.140625" style="27" customWidth="1"/>
  </cols>
  <sheetData>
    <row r="1" spans="1:10" ht="15.75">
      <c r="A1" s="54" t="s">
        <v>55</v>
      </c>
      <c r="I1" s="55" t="s">
        <v>56</v>
      </c>
      <c r="J1" s="56" t="s">
        <v>51</v>
      </c>
    </row>
    <row r="2" spans="9:10" ht="12.75">
      <c r="I2" s="57" t="s">
        <v>57</v>
      </c>
      <c r="J2" s="58" t="s">
        <v>58</v>
      </c>
    </row>
    <row r="3" spans="1:10" ht="12.75">
      <c r="A3" s="59" t="s">
        <v>59</v>
      </c>
      <c r="I3" s="57" t="s">
        <v>60</v>
      </c>
      <c r="J3" s="58" t="s">
        <v>61</v>
      </c>
    </row>
    <row r="4" spans="9:10" ht="12.75">
      <c r="I4" s="57" t="s">
        <v>62</v>
      </c>
      <c r="J4" s="58" t="s">
        <v>61</v>
      </c>
    </row>
    <row r="5" spans="9:10" ht="13.5" thickBot="1">
      <c r="I5" s="60" t="s">
        <v>63</v>
      </c>
      <c r="J5" s="61" t="s">
        <v>64</v>
      </c>
    </row>
    <row r="10" ht="13.5" thickBot="1"/>
    <row r="11" spans="1:16" ht="12.75" customHeight="1" thickBot="1">
      <c r="A11" s="26" t="str">
        <f aca="true" t="shared" si="0" ref="A11:A22">P11</f>
        <v> BBS 120 </v>
      </c>
      <c r="B11" s="6" t="str">
        <f aca="true" t="shared" si="1" ref="B11:B22">IF(H11=INT(H11),"I","II")</f>
        <v>II</v>
      </c>
      <c r="C11" s="26">
        <f aca="true" t="shared" si="2" ref="C11:C22">1*G11</f>
        <v>51358.393</v>
      </c>
      <c r="D11" s="27" t="str">
        <f aca="true" t="shared" si="3" ref="D11:D22">VLOOKUP(F11,I$1:J$5,2,FALSE)</f>
        <v>vis</v>
      </c>
      <c r="E11" s="62">
        <f>VLOOKUP(C11,Active!C$21:E$973,3,FALSE)</f>
        <v>31134.717444182184</v>
      </c>
      <c r="F11" s="6" t="s">
        <v>63</v>
      </c>
      <c r="G11" s="27" t="str">
        <f aca="true" t="shared" si="4" ref="G11:G22">MID(I11,3,LEN(I11)-3)</f>
        <v>51358.393</v>
      </c>
      <c r="H11" s="26">
        <f aca="true" t="shared" si="5" ref="H11:H22">1*K11</f>
        <v>31131.5</v>
      </c>
      <c r="I11" s="63" t="s">
        <v>65</v>
      </c>
      <c r="J11" s="64" t="s">
        <v>66</v>
      </c>
      <c r="K11" s="63">
        <v>31131.5</v>
      </c>
      <c r="L11" s="63" t="s">
        <v>67</v>
      </c>
      <c r="M11" s="64" t="s">
        <v>68</v>
      </c>
      <c r="N11" s="64" t="s">
        <v>69</v>
      </c>
      <c r="O11" s="65" t="s">
        <v>70</v>
      </c>
      <c r="P11" s="65" t="s">
        <v>71</v>
      </c>
    </row>
    <row r="12" spans="1:16" ht="12.75" customHeight="1" thickBot="1">
      <c r="A12" s="26" t="str">
        <f t="shared" si="0"/>
        <v>IBVS 5263 </v>
      </c>
      <c r="B12" s="6" t="str">
        <f t="shared" si="1"/>
        <v>II</v>
      </c>
      <c r="C12" s="26">
        <f t="shared" si="2"/>
        <v>51467.2123</v>
      </c>
      <c r="D12" s="27" t="str">
        <f t="shared" si="3"/>
        <v>vis</v>
      </c>
      <c r="E12" s="62">
        <f>VLOOKUP(C12,Active!C$21:E$973,3,FALSE)</f>
        <v>31255.693347251934</v>
      </c>
      <c r="F12" s="6" t="s">
        <v>63</v>
      </c>
      <c r="G12" s="27" t="str">
        <f t="shared" si="4"/>
        <v>51467.2123</v>
      </c>
      <c r="H12" s="26">
        <f t="shared" si="5"/>
        <v>31252.5</v>
      </c>
      <c r="I12" s="63" t="s">
        <v>72</v>
      </c>
      <c r="J12" s="64" t="s">
        <v>73</v>
      </c>
      <c r="K12" s="63">
        <v>31252.5</v>
      </c>
      <c r="L12" s="63" t="s">
        <v>74</v>
      </c>
      <c r="M12" s="64" t="s">
        <v>68</v>
      </c>
      <c r="N12" s="64" t="s">
        <v>69</v>
      </c>
      <c r="O12" s="65" t="s">
        <v>75</v>
      </c>
      <c r="P12" s="66" t="s">
        <v>76</v>
      </c>
    </row>
    <row r="13" spans="1:16" ht="12.75" customHeight="1" thickBot="1">
      <c r="A13" s="26" t="str">
        <f t="shared" si="0"/>
        <v>IBVS 5287 </v>
      </c>
      <c r="B13" s="6" t="str">
        <f t="shared" si="1"/>
        <v>II</v>
      </c>
      <c r="C13" s="26">
        <f t="shared" si="2"/>
        <v>51697.4865</v>
      </c>
      <c r="D13" s="27" t="str">
        <f t="shared" si="3"/>
        <v>vis</v>
      </c>
      <c r="E13" s="62">
        <f>VLOOKUP(C13,Active!C$21:E$973,3,FALSE)</f>
        <v>31511.692322605235</v>
      </c>
      <c r="F13" s="6" t="s">
        <v>63</v>
      </c>
      <c r="G13" s="27" t="str">
        <f t="shared" si="4"/>
        <v>51697.4865</v>
      </c>
      <c r="H13" s="26">
        <f t="shared" si="5"/>
        <v>31508.5</v>
      </c>
      <c r="I13" s="63" t="s">
        <v>77</v>
      </c>
      <c r="J13" s="64" t="s">
        <v>78</v>
      </c>
      <c r="K13" s="63">
        <v>31508.5</v>
      </c>
      <c r="L13" s="63" t="s">
        <v>79</v>
      </c>
      <c r="M13" s="64" t="s">
        <v>68</v>
      </c>
      <c r="N13" s="64" t="s">
        <v>69</v>
      </c>
      <c r="O13" s="65" t="s">
        <v>75</v>
      </c>
      <c r="P13" s="66" t="s">
        <v>80</v>
      </c>
    </row>
    <row r="14" spans="1:16" ht="12.75" customHeight="1" thickBot="1">
      <c r="A14" s="26" t="str">
        <f t="shared" si="0"/>
        <v>IBVS 5287 </v>
      </c>
      <c r="B14" s="6" t="str">
        <f t="shared" si="1"/>
        <v>II</v>
      </c>
      <c r="C14" s="26">
        <f t="shared" si="2"/>
        <v>51776.6348</v>
      </c>
      <c r="D14" s="27" t="str">
        <f t="shared" si="3"/>
        <v>vis</v>
      </c>
      <c r="E14" s="62">
        <f>VLOOKUP(C14,Active!C$21:E$973,3,FALSE)</f>
        <v>31599.682569454235</v>
      </c>
      <c r="F14" s="6" t="s">
        <v>63</v>
      </c>
      <c r="G14" s="27" t="str">
        <f t="shared" si="4"/>
        <v>51776.6348</v>
      </c>
      <c r="H14" s="26">
        <f t="shared" si="5"/>
        <v>31596.5</v>
      </c>
      <c r="I14" s="63" t="s">
        <v>81</v>
      </c>
      <c r="J14" s="64" t="s">
        <v>82</v>
      </c>
      <c r="K14" s="63">
        <v>31596.5</v>
      </c>
      <c r="L14" s="63" t="s">
        <v>83</v>
      </c>
      <c r="M14" s="64" t="s">
        <v>68</v>
      </c>
      <c r="N14" s="64" t="s">
        <v>69</v>
      </c>
      <c r="O14" s="65" t="s">
        <v>75</v>
      </c>
      <c r="P14" s="66" t="s">
        <v>80</v>
      </c>
    </row>
    <row r="15" spans="1:16" ht="12.75" customHeight="1" thickBot="1">
      <c r="A15" s="26" t="str">
        <f t="shared" si="0"/>
        <v>IBVS 5287 </v>
      </c>
      <c r="B15" s="6" t="str">
        <f t="shared" si="1"/>
        <v>II</v>
      </c>
      <c r="C15" s="26">
        <f t="shared" si="2"/>
        <v>51777.549</v>
      </c>
      <c r="D15" s="27" t="str">
        <f t="shared" si="3"/>
        <v>vis</v>
      </c>
      <c r="E15" s="62">
        <f>VLOOKUP(C15,Active!C$21:E$973,3,FALSE)</f>
        <v>31600.698898088827</v>
      </c>
      <c r="F15" s="6" t="s">
        <v>63</v>
      </c>
      <c r="G15" s="27" t="str">
        <f t="shared" si="4"/>
        <v>51777.5490</v>
      </c>
      <c r="H15" s="26">
        <f t="shared" si="5"/>
        <v>31597.5</v>
      </c>
      <c r="I15" s="63" t="s">
        <v>84</v>
      </c>
      <c r="J15" s="64" t="s">
        <v>85</v>
      </c>
      <c r="K15" s="63">
        <v>31597.5</v>
      </c>
      <c r="L15" s="63" t="s">
        <v>86</v>
      </c>
      <c r="M15" s="64" t="s">
        <v>68</v>
      </c>
      <c r="N15" s="64" t="s">
        <v>69</v>
      </c>
      <c r="O15" s="65" t="s">
        <v>75</v>
      </c>
      <c r="P15" s="66" t="s">
        <v>80</v>
      </c>
    </row>
    <row r="16" spans="1:16" ht="12.75" customHeight="1" thickBot="1">
      <c r="A16" s="26" t="str">
        <f t="shared" si="0"/>
        <v>OEJV 0074 </v>
      </c>
      <c r="B16" s="6" t="str">
        <f t="shared" si="1"/>
        <v>II</v>
      </c>
      <c r="C16" s="26">
        <f t="shared" si="2"/>
        <v>52127.4455</v>
      </c>
      <c r="D16" s="27" t="str">
        <f t="shared" si="3"/>
        <v>vis</v>
      </c>
      <c r="E16" s="62">
        <f>VLOOKUP(C16,Active!C$21:E$973,3,FALSE)</f>
        <v>31989.683619259096</v>
      </c>
      <c r="F16" s="6" t="s">
        <v>63</v>
      </c>
      <c r="G16" s="27" t="str">
        <f t="shared" si="4"/>
        <v>52127.44550</v>
      </c>
      <c r="H16" s="26">
        <f t="shared" si="5"/>
        <v>31986.5</v>
      </c>
      <c r="I16" s="63" t="s">
        <v>87</v>
      </c>
      <c r="J16" s="64" t="s">
        <v>88</v>
      </c>
      <c r="K16" s="63">
        <v>31986.5</v>
      </c>
      <c r="L16" s="63" t="s">
        <v>89</v>
      </c>
      <c r="M16" s="64" t="s">
        <v>90</v>
      </c>
      <c r="N16" s="64" t="s">
        <v>91</v>
      </c>
      <c r="O16" s="65" t="s">
        <v>92</v>
      </c>
      <c r="P16" s="66" t="s">
        <v>93</v>
      </c>
    </row>
    <row r="17" spans="1:16" ht="12.75" customHeight="1" thickBot="1">
      <c r="A17" s="26" t="str">
        <f t="shared" si="0"/>
        <v>OEJV 0074 </v>
      </c>
      <c r="B17" s="6" t="str">
        <f t="shared" si="1"/>
        <v>II</v>
      </c>
      <c r="C17" s="26">
        <f t="shared" si="2"/>
        <v>52413.4951</v>
      </c>
      <c r="D17" s="27" t="str">
        <f t="shared" si="3"/>
        <v>vis</v>
      </c>
      <c r="E17" s="62">
        <f>VLOOKUP(C17,Active!C$21:E$973,3,FALSE)</f>
        <v>32307.688869088302</v>
      </c>
      <c r="F17" s="6" t="s">
        <v>63</v>
      </c>
      <c r="G17" s="27" t="str">
        <f t="shared" si="4"/>
        <v>52413.49510</v>
      </c>
      <c r="H17" s="26">
        <f t="shared" si="5"/>
        <v>32304.5</v>
      </c>
      <c r="I17" s="63" t="s">
        <v>94</v>
      </c>
      <c r="J17" s="64" t="s">
        <v>95</v>
      </c>
      <c r="K17" s="63">
        <v>32304.5</v>
      </c>
      <c r="L17" s="63" t="s">
        <v>96</v>
      </c>
      <c r="M17" s="64" t="s">
        <v>90</v>
      </c>
      <c r="N17" s="64" t="s">
        <v>91</v>
      </c>
      <c r="O17" s="65" t="s">
        <v>97</v>
      </c>
      <c r="P17" s="66" t="s">
        <v>93</v>
      </c>
    </row>
    <row r="18" spans="1:16" ht="12.75" customHeight="1" thickBot="1">
      <c r="A18" s="26" t="str">
        <f t="shared" si="0"/>
        <v>IBVS 5583 </v>
      </c>
      <c r="B18" s="6" t="str">
        <f t="shared" si="1"/>
        <v>II</v>
      </c>
      <c r="C18" s="26">
        <f t="shared" si="2"/>
        <v>52440.4817</v>
      </c>
      <c r="D18" s="27" t="str">
        <f t="shared" si="3"/>
        <v>vis</v>
      </c>
      <c r="E18" s="62">
        <f>VLOOKUP(C18,Active!C$21:E$973,3,FALSE)</f>
        <v>32337.690241140703</v>
      </c>
      <c r="F18" s="6" t="s">
        <v>63</v>
      </c>
      <c r="G18" s="27" t="str">
        <f t="shared" si="4"/>
        <v>52440.4817</v>
      </c>
      <c r="H18" s="26">
        <f t="shared" si="5"/>
        <v>32334.5</v>
      </c>
      <c r="I18" s="63" t="s">
        <v>98</v>
      </c>
      <c r="J18" s="64" t="s">
        <v>99</v>
      </c>
      <c r="K18" s="63">
        <v>32334.5</v>
      </c>
      <c r="L18" s="63" t="s">
        <v>100</v>
      </c>
      <c r="M18" s="64" t="s">
        <v>68</v>
      </c>
      <c r="N18" s="64" t="s">
        <v>69</v>
      </c>
      <c r="O18" s="65" t="s">
        <v>75</v>
      </c>
      <c r="P18" s="66" t="s">
        <v>101</v>
      </c>
    </row>
    <row r="19" spans="1:16" ht="12.75" customHeight="1" thickBot="1">
      <c r="A19" s="26" t="str">
        <f t="shared" si="0"/>
        <v>IBVS 5583 </v>
      </c>
      <c r="B19" s="6" t="str">
        <f t="shared" si="1"/>
        <v>I</v>
      </c>
      <c r="C19" s="26">
        <f t="shared" si="2"/>
        <v>52507.4988</v>
      </c>
      <c r="D19" s="27" t="str">
        <f t="shared" si="3"/>
        <v>vis</v>
      </c>
      <c r="E19" s="62">
        <f>VLOOKUP(C19,Active!C$21:E$973,3,FALSE)</f>
        <v>32412.194067149656</v>
      </c>
      <c r="F19" s="6" t="s">
        <v>63</v>
      </c>
      <c r="G19" s="27" t="str">
        <f t="shared" si="4"/>
        <v>52507.4988</v>
      </c>
      <c r="H19" s="26">
        <f t="shared" si="5"/>
        <v>32409</v>
      </c>
      <c r="I19" s="63" t="s">
        <v>102</v>
      </c>
      <c r="J19" s="64" t="s">
        <v>103</v>
      </c>
      <c r="K19" s="63">
        <v>32409</v>
      </c>
      <c r="L19" s="63" t="s">
        <v>104</v>
      </c>
      <c r="M19" s="64" t="s">
        <v>68</v>
      </c>
      <c r="N19" s="64" t="s">
        <v>69</v>
      </c>
      <c r="O19" s="65" t="s">
        <v>75</v>
      </c>
      <c r="P19" s="66" t="s">
        <v>101</v>
      </c>
    </row>
    <row r="20" spans="1:16" ht="12.75" customHeight="1" thickBot="1">
      <c r="A20" s="26" t="str">
        <f t="shared" si="0"/>
        <v>BAVM 173 </v>
      </c>
      <c r="B20" s="6" t="str">
        <f t="shared" si="1"/>
        <v>I</v>
      </c>
      <c r="C20" s="26">
        <f t="shared" si="2"/>
        <v>53258.5772</v>
      </c>
      <c r="D20" s="27" t="str">
        <f t="shared" si="3"/>
        <v>vis</v>
      </c>
      <c r="E20" s="62">
        <f>VLOOKUP(C20,Active!C$21:E$973,3,FALSE)</f>
        <v>33247.17818960018</v>
      </c>
      <c r="F20" s="6" t="s">
        <v>63</v>
      </c>
      <c r="G20" s="27" t="str">
        <f t="shared" si="4"/>
        <v>53258.5772</v>
      </c>
      <c r="H20" s="26">
        <f t="shared" si="5"/>
        <v>33244</v>
      </c>
      <c r="I20" s="63" t="s">
        <v>105</v>
      </c>
      <c r="J20" s="64" t="s">
        <v>106</v>
      </c>
      <c r="K20" s="63">
        <v>33244</v>
      </c>
      <c r="L20" s="63" t="s">
        <v>107</v>
      </c>
      <c r="M20" s="64" t="s">
        <v>68</v>
      </c>
      <c r="N20" s="64" t="s">
        <v>91</v>
      </c>
      <c r="O20" s="65" t="s">
        <v>108</v>
      </c>
      <c r="P20" s="66" t="s">
        <v>109</v>
      </c>
    </row>
    <row r="21" spans="1:16" ht="12.75" customHeight="1" thickBot="1">
      <c r="A21" s="26" t="str">
        <f t="shared" si="0"/>
        <v>BAVM 178 </v>
      </c>
      <c r="B21" s="6" t="str">
        <f t="shared" si="1"/>
        <v>II</v>
      </c>
      <c r="C21" s="26">
        <f t="shared" si="2"/>
        <v>53612.5263</v>
      </c>
      <c r="D21" s="27" t="str">
        <f t="shared" si="3"/>
        <v>vis</v>
      </c>
      <c r="E21" s="62">
        <f>VLOOKUP(C21,Active!C$21:E$973,3,FALSE)</f>
        <v>33640.66824157831</v>
      </c>
      <c r="F21" s="6" t="s">
        <v>63</v>
      </c>
      <c r="G21" s="27" t="str">
        <f t="shared" si="4"/>
        <v>53612.5263</v>
      </c>
      <c r="H21" s="26">
        <f t="shared" si="5"/>
        <v>33637.5</v>
      </c>
      <c r="I21" s="63" t="s">
        <v>110</v>
      </c>
      <c r="J21" s="64" t="s">
        <v>111</v>
      </c>
      <c r="K21" s="63">
        <v>33637.5</v>
      </c>
      <c r="L21" s="63" t="s">
        <v>112</v>
      </c>
      <c r="M21" s="64" t="s">
        <v>90</v>
      </c>
      <c r="N21" s="64" t="s">
        <v>91</v>
      </c>
      <c r="O21" s="65" t="s">
        <v>113</v>
      </c>
      <c r="P21" s="66" t="s">
        <v>114</v>
      </c>
    </row>
    <row r="22" spans="1:16" ht="12.75" customHeight="1" thickBot="1">
      <c r="A22" s="26" t="str">
        <f t="shared" si="0"/>
        <v>BAVM 234 </v>
      </c>
      <c r="B22" s="6" t="str">
        <f t="shared" si="1"/>
        <v>I</v>
      </c>
      <c r="C22" s="26">
        <f t="shared" si="2"/>
        <v>54922.644</v>
      </c>
      <c r="D22" s="27" t="str">
        <f t="shared" si="3"/>
        <v>vis</v>
      </c>
      <c r="E22" s="62">
        <f>VLOOKUP(C22,Active!C$21:E$973,3,FALSE)</f>
        <v>35097.14399436443</v>
      </c>
      <c r="F22" s="6" t="s">
        <v>63</v>
      </c>
      <c r="G22" s="27" t="str">
        <f t="shared" si="4"/>
        <v>54922.644</v>
      </c>
      <c r="H22" s="26">
        <f t="shared" si="5"/>
        <v>35094</v>
      </c>
      <c r="I22" s="63" t="s">
        <v>115</v>
      </c>
      <c r="J22" s="64" t="s">
        <v>116</v>
      </c>
      <c r="K22" s="63">
        <v>35094</v>
      </c>
      <c r="L22" s="63" t="s">
        <v>117</v>
      </c>
      <c r="M22" s="64" t="s">
        <v>90</v>
      </c>
      <c r="N22" s="64" t="s">
        <v>91</v>
      </c>
      <c r="O22" s="65" t="s">
        <v>118</v>
      </c>
      <c r="P22" s="66" t="s">
        <v>119</v>
      </c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</sheetData>
  <sheetProtection/>
  <hyperlinks>
    <hyperlink ref="P12" r:id="rId1" display="http://www.konkoly.hu/cgi-bin/IBVS?5263"/>
    <hyperlink ref="P13" r:id="rId2" display="http://www.konkoly.hu/cgi-bin/IBVS?5287"/>
    <hyperlink ref="P14" r:id="rId3" display="http://www.konkoly.hu/cgi-bin/IBVS?5287"/>
    <hyperlink ref="P15" r:id="rId4" display="http://www.konkoly.hu/cgi-bin/IBVS?5287"/>
    <hyperlink ref="P16" r:id="rId5" display="http://var.astro.cz/oejv/issues/oejv0074.pdf"/>
    <hyperlink ref="P17" r:id="rId6" display="http://var.astro.cz/oejv/issues/oejv0074.pdf"/>
    <hyperlink ref="P18" r:id="rId7" display="http://www.konkoly.hu/cgi-bin/IBVS?5583"/>
    <hyperlink ref="P19" r:id="rId8" display="http://www.konkoly.hu/cgi-bin/IBVS?5583"/>
    <hyperlink ref="P20" r:id="rId9" display="http://www.bav-astro.de/sfs/BAVM_link.php?BAVMnr=173"/>
    <hyperlink ref="P21" r:id="rId10" display="http://www.bav-astro.de/sfs/BAVM_link.php?BAVMnr=178"/>
    <hyperlink ref="P22" r:id="rId11" display="http://www.bav-astro.de/sfs/BAVM_link.php?BAVMnr=234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8" sqref="A28:IV2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2" ht="12.75">
      <c r="A2" t="s">
        <v>25</v>
      </c>
      <c r="B2" s="11" t="s">
        <v>29</v>
      </c>
    </row>
    <row r="3" ht="13.5" thickBot="1"/>
    <row r="4" spans="1:4" ht="13.5" thickBot="1">
      <c r="A4" s="8" t="s">
        <v>0</v>
      </c>
      <c r="C4" s="12">
        <v>23352.335</v>
      </c>
      <c r="D4" s="13">
        <v>0.89961</v>
      </c>
    </row>
    <row r="5" ht="12.75">
      <c r="D5" s="22" t="s">
        <v>38</v>
      </c>
    </row>
    <row r="6" ht="12.75">
      <c r="A6" s="8" t="s">
        <v>1</v>
      </c>
    </row>
    <row r="7" spans="1:3" ht="12.75">
      <c r="A7" t="s">
        <v>2</v>
      </c>
      <c r="C7">
        <f>+C4</f>
        <v>23352.335</v>
      </c>
    </row>
    <row r="8" spans="1:3" ht="12.75">
      <c r="A8" t="s">
        <v>3</v>
      </c>
      <c r="C8">
        <v>0.8995583892617547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15</v>
      </c>
      <c r="C11">
        <f>INTERCEPT(G21:G981,$F21:$F981)</f>
        <v>1.6876270449898891</v>
      </c>
      <c r="D11" s="6"/>
    </row>
    <row r="12" spans="1:4" ht="12.75">
      <c r="A12" t="s">
        <v>16</v>
      </c>
      <c r="C12">
        <f>SLOPE(G21:G981,$F21:$F981)</f>
        <v>-5.143061112232857E-05</v>
      </c>
      <c r="D12" s="6"/>
    </row>
    <row r="13" spans="1:4" ht="12.75">
      <c r="A13" t="s">
        <v>19</v>
      </c>
      <c r="C13" s="6"/>
      <c r="D13" s="6"/>
    </row>
    <row r="14" ht="12.75">
      <c r="A14" t="s">
        <v>24</v>
      </c>
    </row>
    <row r="15" spans="1:4" ht="12.75">
      <c r="A15" s="3" t="s">
        <v>17</v>
      </c>
      <c r="C15" s="16">
        <f>+D15+C8/2</f>
        <v>52507.948579194635</v>
      </c>
      <c r="D15" s="19">
        <v>52507.4988</v>
      </c>
    </row>
    <row r="16" spans="1:3" ht="12.75">
      <c r="A16" s="8" t="s">
        <v>4</v>
      </c>
      <c r="C16">
        <f>+C8+C12</f>
        <v>0.8995069586506323</v>
      </c>
    </row>
    <row r="17" ht="13.5" thickBot="1"/>
    <row r="18" spans="1:4" ht="12.75">
      <c r="A18" s="8" t="s">
        <v>5</v>
      </c>
      <c r="C18" s="4">
        <f>+C15</f>
        <v>52507.948579194635</v>
      </c>
      <c r="D18" s="5">
        <f>+C16</f>
        <v>0.8995069586506323</v>
      </c>
    </row>
    <row r="19" ht="13.5" thickTop="1">
      <c r="C19">
        <f>COUNT(C21:C2720)</f>
        <v>8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39</v>
      </c>
      <c r="J20" s="10" t="s">
        <v>18</v>
      </c>
      <c r="K20" s="10" t="s">
        <v>26</v>
      </c>
      <c r="L20" s="10" t="s">
        <v>27</v>
      </c>
      <c r="M20" s="10" t="s">
        <v>28</v>
      </c>
      <c r="N20" s="10" t="s">
        <v>32</v>
      </c>
      <c r="O20" s="10" t="s">
        <v>23</v>
      </c>
      <c r="P20" s="9" t="s">
        <v>22</v>
      </c>
      <c r="Q20" s="7" t="s">
        <v>14</v>
      </c>
    </row>
    <row r="21" spans="1:17" ht="12.75">
      <c r="A21" s="14" t="s">
        <v>12</v>
      </c>
      <c r="B21" s="15" t="s">
        <v>30</v>
      </c>
      <c r="C21" s="16">
        <f>+C4</f>
        <v>23352.335</v>
      </c>
      <c r="D21" s="15" t="s">
        <v>31</v>
      </c>
      <c r="E21">
        <f aca="true" t="shared" si="0" ref="E21:E28">+(C21-C$7)/C$8</f>
        <v>0</v>
      </c>
      <c r="F21">
        <f aca="true" t="shared" si="1" ref="F21:F28">ROUND(2*E21,0)/2</f>
        <v>0</v>
      </c>
      <c r="H21">
        <v>0</v>
      </c>
      <c r="O21">
        <f aca="true" t="shared" si="2" ref="O21:O28">+C$11+C$12*$F21</f>
        <v>1.6876270449898891</v>
      </c>
      <c r="Q21" s="2">
        <f aca="true" t="shared" si="3" ref="Q21:Q28">+C21-15018.5</f>
        <v>8333.835</v>
      </c>
    </row>
    <row r="22" spans="1:17" ht="12.75">
      <c r="A22" s="17" t="s">
        <v>34</v>
      </c>
      <c r="B22" s="18" t="s">
        <v>30</v>
      </c>
      <c r="C22" s="19">
        <v>51467.2123</v>
      </c>
      <c r="D22" s="18">
        <v>0.0134</v>
      </c>
      <c r="E22">
        <f t="shared" si="0"/>
        <v>31254.088267770127</v>
      </c>
      <c r="F22">
        <f t="shared" si="1"/>
        <v>31254</v>
      </c>
      <c r="G22">
        <f aca="true" t="shared" si="4" ref="G22:G28">+C22-(C$7+F22*C$8)</f>
        <v>0.07940201311430428</v>
      </c>
      <c r="I22" s="23">
        <f>G22</f>
        <v>0.07940201311430428</v>
      </c>
      <c r="O22">
        <f t="shared" si="2"/>
        <v>0.08021472497263193</v>
      </c>
      <c r="Q22" s="2">
        <f t="shared" si="3"/>
        <v>36448.7123</v>
      </c>
    </row>
    <row r="23" spans="1:17" ht="12.75">
      <c r="A23" s="17" t="s">
        <v>35</v>
      </c>
      <c r="B23" s="18" t="s">
        <v>30</v>
      </c>
      <c r="C23" s="19">
        <v>51697.4865</v>
      </c>
      <c r="D23" s="18">
        <v>0.0023</v>
      </c>
      <c r="E23">
        <f t="shared" si="0"/>
        <v>31510.07409676004</v>
      </c>
      <c r="F23">
        <f t="shared" si="1"/>
        <v>31510</v>
      </c>
      <c r="G23">
        <f t="shared" si="4"/>
        <v>0.0666543621046003</v>
      </c>
      <c r="I23" s="23">
        <f>G23</f>
        <v>0.0666543621046003</v>
      </c>
      <c r="O23">
        <f t="shared" si="2"/>
        <v>0.06704848852531575</v>
      </c>
      <c r="Q23" s="2">
        <f t="shared" si="3"/>
        <v>36678.9865</v>
      </c>
    </row>
    <row r="24" spans="1:17" ht="12.75">
      <c r="A24" s="17" t="s">
        <v>35</v>
      </c>
      <c r="B24" s="18" t="s">
        <v>30</v>
      </c>
      <c r="C24" s="19">
        <v>51776.6348</v>
      </c>
      <c r="D24" s="18">
        <v>0.0075</v>
      </c>
      <c r="E24">
        <f t="shared" si="0"/>
        <v>31598.05982502939</v>
      </c>
      <c r="F24">
        <f t="shared" si="1"/>
        <v>31598</v>
      </c>
      <c r="G24">
        <f t="shared" si="4"/>
        <v>0.05381610707263462</v>
      </c>
      <c r="I24" s="23">
        <f>G24</f>
        <v>0.05381610707263462</v>
      </c>
      <c r="O24">
        <f t="shared" si="2"/>
        <v>0.06252259474655086</v>
      </c>
      <c r="Q24" s="2">
        <f t="shared" si="3"/>
        <v>36758.1348</v>
      </c>
    </row>
    <row r="25" spans="1:17" ht="12.75">
      <c r="A25" s="17" t="s">
        <v>35</v>
      </c>
      <c r="B25" s="18" t="s">
        <v>30</v>
      </c>
      <c r="C25" s="19">
        <v>51777.549</v>
      </c>
      <c r="D25" s="18">
        <v>0.007</v>
      </c>
      <c r="E25">
        <f t="shared" si="0"/>
        <v>31599.076101472267</v>
      </c>
      <c r="F25">
        <f t="shared" si="1"/>
        <v>31599</v>
      </c>
      <c r="G25">
        <f t="shared" si="4"/>
        <v>0.06845771781809162</v>
      </c>
      <c r="I25" s="23">
        <f>G25</f>
        <v>0.06845771781809162</v>
      </c>
      <c r="O25">
        <f t="shared" si="2"/>
        <v>0.062471164135428525</v>
      </c>
      <c r="Q25" s="2">
        <f t="shared" si="3"/>
        <v>36759.049</v>
      </c>
    </row>
    <row r="26" spans="1:17" ht="12.75">
      <c r="A26" s="20" t="s">
        <v>36</v>
      </c>
      <c r="B26" s="18" t="s">
        <v>30</v>
      </c>
      <c r="C26" s="19">
        <v>52440.4817</v>
      </c>
      <c r="D26" s="18">
        <v>0.0024</v>
      </c>
      <c r="E26">
        <f t="shared" si="0"/>
        <v>32336.029597669498</v>
      </c>
      <c r="F26">
        <f t="shared" si="1"/>
        <v>32336</v>
      </c>
      <c r="G26">
        <f t="shared" si="4"/>
        <v>0.026624831902154256</v>
      </c>
      <c r="I26">
        <f>+G26</f>
        <v>0.026624831902154256</v>
      </c>
      <c r="O26">
        <f t="shared" si="2"/>
        <v>0.02456680373827247</v>
      </c>
      <c r="Q26" s="2">
        <f t="shared" si="3"/>
        <v>37421.9817</v>
      </c>
    </row>
    <row r="27" spans="1:17" ht="12.75">
      <c r="A27" s="20" t="s">
        <v>36</v>
      </c>
      <c r="B27" s="18" t="s">
        <v>37</v>
      </c>
      <c r="C27" s="19">
        <v>52507.4988</v>
      </c>
      <c r="D27" s="18">
        <v>0.0085</v>
      </c>
      <c r="E27">
        <f t="shared" si="0"/>
        <v>32410.5295976695</v>
      </c>
      <c r="F27">
        <f t="shared" si="1"/>
        <v>32410.5</v>
      </c>
      <c r="G27">
        <f t="shared" si="4"/>
        <v>0.026624831902154256</v>
      </c>
      <c r="I27">
        <f>+G27</f>
        <v>0.026624831902154256</v>
      </c>
      <c r="O27">
        <f t="shared" si="2"/>
        <v>0.020735223209658926</v>
      </c>
      <c r="Q27" s="2">
        <f t="shared" si="3"/>
        <v>37488.9988</v>
      </c>
    </row>
    <row r="28" spans="1:17" ht="12.75">
      <c r="A28" s="24" t="s">
        <v>41</v>
      </c>
      <c r="B28" s="25"/>
      <c r="C28" s="26">
        <v>53258.5772</v>
      </c>
      <c r="D28" s="26">
        <v>0.0013</v>
      </c>
      <c r="E28">
        <f t="shared" si="0"/>
        <v>33245.470841023794</v>
      </c>
      <c r="F28">
        <f t="shared" si="1"/>
        <v>33245.5</v>
      </c>
      <c r="G28">
        <f t="shared" si="4"/>
        <v>-0.026230201663565822</v>
      </c>
      <c r="I28">
        <f>+G28</f>
        <v>-0.026230201663565822</v>
      </c>
      <c r="O28">
        <f t="shared" si="2"/>
        <v>-0.022209337077485403</v>
      </c>
      <c r="Q28" s="2">
        <f t="shared" si="3"/>
        <v>38240.0772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