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7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<sst xmlns="http://schemas.openxmlformats.org/spreadsheetml/2006/main" count="426" uniqueCount="229">
  <si>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</si>
  <si>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</si>
  <si>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</si>
  <si>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</si>
  <si>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</si>
  <si>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</si>
  <si>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</si>
  <si>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</si>
  <si>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</si>
  <si>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</si>
  <si>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</si>
  <si>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</si>
  <si>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</si>
  <si>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</si>
  <si>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</si>
  <si>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</si>
  <si>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</si>
  <si>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</si>
  <si>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</si>
  <si>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</si>
  <si>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</si>
  <si>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</si>
  <si>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</si>
  <si>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</si>
  <si>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</si>
  <si>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</si>
  <si>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</si>
  <si>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</si>
  <si>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IBVS 5484</t>
  </si>
  <si>
    <t>Vandenbroere J</t>
  </si>
  <si>
    <t>BBSAG Bull.98</t>
  </si>
  <si>
    <t>B</t>
  </si>
  <si>
    <t>Blaettler E</t>
  </si>
  <si>
    <t>BBSAG Bull.115</t>
  </si>
  <si>
    <t>IBVS 5263</t>
  </si>
  <si>
    <t>I</t>
  </si>
  <si>
    <t>IBVS 5287</t>
  </si>
  <si>
    <t>EB/SD</t>
  </si>
  <si>
    <t>IBVS 5643</t>
  </si>
  <si>
    <t># of data points: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</si>
  <si>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</si>
  <si>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</si>
  <si>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</si>
  <si>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</si>
  <si>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</si>
  <si>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</si>
  <si>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</si>
  <si>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</si>
  <si>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OEJV 0074</t>
  </si>
  <si>
    <t>II</t>
  </si>
  <si>
    <t>CCD</t>
  </si>
  <si>
    <t>CCD+V</t>
  </si>
  <si>
    <t>IBVS 5945</t>
  </si>
  <si>
    <t>Add cycle</t>
  </si>
  <si>
    <t>Old Cycle</t>
  </si>
  <si>
    <t>OEJV 0137</t>
  </si>
  <si>
    <t>IBVS 5959</t>
  </si>
  <si>
    <t>IBVS 6010</t>
  </si>
  <si>
    <t>OEJV 0160</t>
  </si>
  <si>
    <t>IBVS 6070</t>
  </si>
  <si>
    <t>V0454 Cyg / gsc 3151-1772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</si>
  <si>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</si>
  <si>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</si>
  <si>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</si>
  <si>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</si>
  <si>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</si>
  <si>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</si>
  <si>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</si>
  <si>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</si>
  <si>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</si>
  <si>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</si>
  <si>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</si>
  <si>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2428725.469 </t>
  </si>
  <si>
    <t> 10.07.1937 23:15 </t>
  </si>
  <si>
    <t> 0.000 </t>
  </si>
  <si>
    <t> P.G.Kulikovsky </t>
  </si>
  <si>
    <t> PZ 6.212 </t>
  </si>
  <si>
    <t>2429485.40 </t>
  </si>
  <si>
    <t> 09.08.1939 21:36 </t>
  </si>
  <si>
    <t> -0.01 </t>
  </si>
  <si>
    <t> T.S.Meshkova </t>
  </si>
  <si>
    <t> AC 26.4 </t>
  </si>
  <si>
    <t>2433894.440 </t>
  </si>
  <si>
    <t> 04.09.1951 22:33 </t>
  </si>
  <si>
    <t> -0.019 </t>
  </si>
  <si>
    <t>P </t>
  </si>
  <si>
    <t> G.Romano </t>
  </si>
  <si>
    <t> MSAI 40.392 </t>
  </si>
  <si>
    <t>2434603.446 </t>
  </si>
  <si>
    <t> 13.08.1953 22:42 </t>
  </si>
  <si>
    <t> 0.018 </t>
  </si>
  <si>
    <t>2437520.435 </t>
  </si>
  <si>
    <t> 08.08.1961 22:26 </t>
  </si>
  <si>
    <t> 0.038 </t>
  </si>
  <si>
    <t>2437550.460 </t>
  </si>
  <si>
    <t> 07.09.1961 23:02 </t>
  </si>
  <si>
    <t> -0.057 </t>
  </si>
  <si>
    <t>2437578.356 </t>
  </si>
  <si>
    <t> 05.10.1961 20:32 </t>
  </si>
  <si>
    <t> 0.036 </t>
  </si>
  <si>
    <t>2448400.530 </t>
  </si>
  <si>
    <t> 24.05.1991 00:43 </t>
  </si>
  <si>
    <t> -0.000 </t>
  </si>
  <si>
    <t>V </t>
  </si>
  <si>
    <t> J.Vandenbroere </t>
  </si>
  <si>
    <t> BBS 98 </t>
  </si>
  <si>
    <t>2450659.4962 </t>
  </si>
  <si>
    <t> 29.07.1997 23:54 </t>
  </si>
  <si>
    <t> -0.0055 </t>
  </si>
  <si>
    <t>E </t>
  </si>
  <si>
    <t>?</t>
  </si>
  <si>
    <t> E.Blättler </t>
  </si>
  <si>
    <t> BBS 115 </t>
  </si>
  <si>
    <t>2451375.4166 </t>
  </si>
  <si>
    <t> 15.07.1999 21:59 </t>
  </si>
  <si>
    <t> -0.0052 </t>
  </si>
  <si>
    <t> J.Safar </t>
  </si>
  <si>
    <t>IBVS 5263 </t>
  </si>
  <si>
    <t>2451433.3395 </t>
  </si>
  <si>
    <t> 11.09.1999 20:08 </t>
  </si>
  <si>
    <t> -0.0047 </t>
  </si>
  <si>
    <t>2451697.4653 </t>
  </si>
  <si>
    <t> 01.06.2000 23:10 </t>
  </si>
  <si>
    <t> M.Zejda </t>
  </si>
  <si>
    <t>IBVS 5287 </t>
  </si>
  <si>
    <t>2451698.61000 </t>
  </si>
  <si>
    <t> 03.06.2000 02:38 </t>
  </si>
  <si>
    <t> -0.01848 </t>
  </si>
  <si>
    <t>C </t>
  </si>
  <si>
    <t>o</t>
  </si>
  <si>
    <t> J.Šafár </t>
  </si>
  <si>
    <t>OEJV 0074 </t>
  </si>
  <si>
    <t>2451704.41597 </t>
  </si>
  <si>
    <t> 08.06.2000 21:58 </t>
  </si>
  <si>
    <t> -0.00475 </t>
  </si>
  <si>
    <t>2451799.4096 </t>
  </si>
  <si>
    <t> 11.09.2000 21:49 </t>
  </si>
  <si>
    <t> -0.0038 </t>
  </si>
  <si>
    <t>2452085.54454 </t>
  </si>
  <si>
    <t> 25.06.2001 01:04 </t>
  </si>
  <si>
    <t> -0.00519 </t>
  </si>
  <si>
    <t>2452121.45320 </t>
  </si>
  <si>
    <t> 30.07.2001 22:52 </t>
  </si>
  <si>
    <t> -0.00838 </t>
  </si>
  <si>
    <t> K.Koss </t>
  </si>
  <si>
    <t>2452428.44491 </t>
  </si>
  <si>
    <t> 02.06.2002 22:40 </t>
  </si>
  <si>
    <t> -0.00509 </t>
  </si>
  <si>
    <t>2452428.4463 </t>
  </si>
  <si>
    <t> 02.06.2002 22:42 </t>
  </si>
  <si>
    <t> -0.0037 </t>
  </si>
  <si>
    <t> F.Agerer </t>
  </si>
  <si>
    <t>BAVM 158 </t>
  </si>
  <si>
    <t>2452794.5151 </t>
  </si>
  <si>
    <t> 04.06.2003 00:21 </t>
  </si>
  <si>
    <t> -0.0041 </t>
  </si>
  <si>
    <t> P.Frank </t>
  </si>
  <si>
    <t>BAVM 172 </t>
  </si>
  <si>
    <t>2452874.44355 </t>
  </si>
  <si>
    <t> 22.08.2003 22:38 </t>
  </si>
  <si>
    <t> -0.00849 </t>
  </si>
  <si>
    <t> Motl et al. </t>
  </si>
  <si>
    <t>2453655.2350 </t>
  </si>
  <si>
    <t> 11.10.2005 17:38 </t>
  </si>
  <si>
    <t> -0.0102 </t>
  </si>
  <si>
    <t>-I</t>
  </si>
  <si>
    <t>BAVM 178 </t>
  </si>
  <si>
    <t>2453993.5051 </t>
  </si>
  <si>
    <t> 15.09.2006 00:07 </t>
  </si>
  <si>
    <t>10906</t>
  </si>
  <si>
    <t> -0.0066 </t>
  </si>
  <si>
    <t> K.&amp; M.Rätz </t>
  </si>
  <si>
    <t>BAVM 186 </t>
  </si>
  <si>
    <t>2455075.4922 </t>
  </si>
  <si>
    <t> 31.08.2009 23:48 </t>
  </si>
  <si>
    <t>11373</t>
  </si>
  <si>
    <t> -0.0089 </t>
  </si>
  <si>
    <t>-U;-I</t>
  </si>
  <si>
    <t>BAVM 214 </t>
  </si>
  <si>
    <t>2455082.4439 </t>
  </si>
  <si>
    <t> 07.09.2009 22:39 </t>
  </si>
  <si>
    <t>11376</t>
  </si>
  <si>
    <t> -0.0078 </t>
  </si>
  <si>
    <t> U.Schmidt </t>
  </si>
  <si>
    <t>BAVM 212 </t>
  </si>
  <si>
    <t>2455352.3625 </t>
  </si>
  <si>
    <t> 04.06.2010 20:42 </t>
  </si>
  <si>
    <t>11492.5</t>
  </si>
  <si>
    <t> -0.0073 </t>
  </si>
  <si>
    <t> L.Šmelcer </t>
  </si>
  <si>
    <t>OEJV 0137 </t>
  </si>
  <si>
    <t>2455362.7891 </t>
  </si>
  <si>
    <t> 15.06.2010 06:56 </t>
  </si>
  <si>
    <t>11497</t>
  </si>
  <si>
    <t> -0.0068 </t>
  </si>
  <si>
    <t> R.Diethelm </t>
  </si>
  <si>
    <t>IBVS 5945 </t>
  </si>
  <si>
    <t>2455711.4824 </t>
  </si>
  <si>
    <t> 29.05.2011 23:34 </t>
  </si>
  <si>
    <t>11647.5</t>
  </si>
  <si>
    <t> -0.0060 </t>
  </si>
  <si>
    <t>BAVM 220 </t>
  </si>
  <si>
    <t>2455740.4414 </t>
  </si>
  <si>
    <t> 27.06.2011 22:35 </t>
  </si>
  <si>
    <t> -0.0081 </t>
  </si>
  <si>
    <t>2455798.36187 </t>
  </si>
  <si>
    <t> 24.08.2011 20:41 </t>
  </si>
  <si>
    <t> -0.01001 </t>
  </si>
  <si>
    <t>OEJV 0160 </t>
  </si>
  <si>
    <t>2455798.36247 </t>
  </si>
  <si>
    <t> -0.00941 </t>
  </si>
  <si>
    <t>2455799.5210 </t>
  </si>
  <si>
    <t> 26.08.2011 00:30 </t>
  </si>
  <si>
    <t> -0.0093 </t>
  </si>
  <si>
    <t>BAVM 225 </t>
  </si>
  <si>
    <t>2456229.3050 </t>
  </si>
  <si>
    <t> 28.10.2012 19:19 </t>
  </si>
  <si>
    <t> -0.0091 </t>
  </si>
  <si>
    <t>R</t>
  </si>
  <si>
    <t> M.&amp; K.Rätz </t>
  </si>
  <si>
    <t>BAVM 231 </t>
  </si>
  <si>
    <t>2456464.47105 </t>
  </si>
  <si>
    <t> 20.06.2013 23:18 </t>
  </si>
  <si>
    <t> -0.00777 </t>
  </si>
  <si>
    <t>2456464.47339 </t>
  </si>
  <si>
    <t> 20.06.2013 23:21 </t>
  </si>
  <si>
    <t> -0.00543 </t>
  </si>
  <si>
    <t>BAD?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</si>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</sst>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5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3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3" fillId="24" borderId="17" xfId="57" applyFill="1" applyBorder="1" applyAlignment="1" applyProtection="1">
      <alignment horizontal="right" vertical="top" wrapText="1"/>
      <protection/>
    </xf>
    <xf numFmtId="0" fontId="5" fillId="24" borderId="17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055"/>
          <c:w val="0.9"/>
          <c:h val="0.79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A!$F$21:$F$300</c:f>
              <c:numCache/>
            </c:numRef>
          </c:xVal>
          <c:yVal>
            <c:numRef>
              <c:f>A!$U$21:$U$300</c:f>
              <c:numCache/>
            </c:numRef>
          </c:yVal>
          <c:smooth val="0"/>
        </c:ser>
        <c:axId val="63758351"/>
        <c:axId val="36954248"/>
      </c:scatterChart>
      <c:valAx>
        <c:axId val="63758351"/>
        <c:scaling>
          <c:orientation val="minMax"/>
          <c:min val="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crossBetween val="midCat"/>
        <c:dispUnits/>
      </c:valAx>
      <c:valAx>
        <c:axId val="36954248"/>
        <c:scaling>
          <c:orientation val="minMax"/>
          <c:max val="0.01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5835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075"/>
          <c:y val="0.9305"/>
          <c:w val="0.8667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V0454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A!$H$21:$H$992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plus>
            <c:minus>
              <c:numRef>
                <c:f>A!$D$21:$D$992</c:f>
                <c:numCache>
                  <c:ptCount val="9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A!$I$21:$I$992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A!$J$21:$J$992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A!$K$21:$K$992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A!$L$21:$L$992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A!$M$21:$M$992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plus>
            <c:minus>
              <c:numRef>
                <c:f>A!$D$21:$D$92</c:f>
                <c:numCach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NaN</c:v>
                  </c:pt>
                  <c:pt idx="8">
                    <c:v>0.0011</c:v>
                  </c:pt>
                  <c:pt idx="9">
                    <c:v>0</c:v>
                  </c:pt>
                  <c:pt idx="10">
                    <c:v>0.003</c:v>
                  </c:pt>
                  <c:pt idx="11">
                    <c:v>0.0035</c:v>
                  </c:pt>
                  <c:pt idx="12">
                    <c:v>0.002</c:v>
                  </c:pt>
                  <c:pt idx="13">
                    <c:v>0.006</c:v>
                  </c:pt>
                  <c:pt idx="14">
                    <c:v>0.003</c:v>
                  </c:pt>
                  <c:pt idx="15">
                    <c:v>0.0019</c:v>
                  </c:pt>
                  <c:pt idx="16">
                    <c:v>0.0056</c:v>
                  </c:pt>
                  <c:pt idx="17">
                    <c:v>0</c:v>
                  </c:pt>
                  <c:pt idx="18">
                    <c:v>0.0024</c:v>
                  </c:pt>
                  <c:pt idx="19">
                    <c:v>0.0016</c:v>
                  </c:pt>
                  <c:pt idx="20">
                    <c:v>0.0011</c:v>
                  </c:pt>
                  <c:pt idx="21">
                    <c:v>0</c:v>
                  </c:pt>
                  <c:pt idx="22">
                    <c:v>0.001</c:v>
                  </c:pt>
                  <c:pt idx="23">
                    <c:v>0.0002</c:v>
                  </c:pt>
                  <c:pt idx="24">
                    <c:v>0.0001</c:v>
                  </c:pt>
                  <c:pt idx="25">
                    <c:v>0</c:v>
                  </c:pt>
                  <c:pt idx="26">
                    <c:v>0.0004</c:v>
                  </c:pt>
                  <c:pt idx="27">
                    <c:v>0.0003</c:v>
                  </c:pt>
                  <c:pt idx="28">
                    <c:v>0.0057</c:v>
                  </c:pt>
                  <c:pt idx="29">
                    <c:v>0.001</c:v>
                  </c:pt>
                  <c:pt idx="30">
                    <c:v>0.0003</c:v>
                  </c:pt>
                  <c:pt idx="31">
                    <c:v>0.0003</c:v>
                  </c:pt>
                  <c:pt idx="32">
                    <c:v>0</c:v>
                  </c:pt>
                  <c:pt idx="33">
                    <c:v>0.0004</c:v>
                  </c:pt>
                  <c:pt idx="34">
                    <c:v>0.0009</c:v>
                  </c:pt>
                  <c:pt idx="35">
                    <c:v>0.0012</c:v>
                  </c:pt>
                  <c:pt idx="36">
                    <c:v>0.0003</c:v>
                  </c:pt>
                  <c:pt idx="37">
                    <c:v>0.0004</c:v>
                  </c:pt>
                  <c:pt idx="38">
                    <c:v>0.0008</c:v>
                  </c:pt>
                  <c:pt idx="39">
                    <c:v>0.0001</c:v>
                  </c:pt>
                  <c:pt idx="40">
                    <c:v>0.0001</c:v>
                  </c:pt>
                  <c:pt idx="41">
                    <c:v>0.0001</c:v>
                  </c:pt>
                  <c:pt idx="42">
                    <c:v>0.0001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A!$F$21:$F$992</c:f>
              <c:numCache/>
            </c:numRef>
          </c:xVal>
          <c:yVal>
            <c:numRef>
              <c:f>A!$N$21:$N$992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A!$F$21:$F$992</c:f>
              <c:numCache/>
            </c:numRef>
          </c:xVal>
          <c:yVal>
            <c:numRef>
              <c:f>A!$O$21:$O$992</c:f>
              <c:numCache/>
            </c:numRef>
          </c:yVal>
          <c:smooth val="0"/>
        </c:ser>
        <c:axId val="64152777"/>
        <c:axId val="40504082"/>
      </c:scatterChart>
      <c:valAx>
        <c:axId val="6415277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04082"/>
        <c:crosses val="autoZero"/>
        <c:crossBetween val="midCat"/>
        <c:dispUnits/>
      </c:valAx>
      <c:valAx>
        <c:axId val="4050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5277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15</xdr:col>
      <xdr:colOff>304800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5372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390525</xdr:colOff>
      <xdr:row>0</xdr:row>
      <xdr:rowOff>0</xdr:rowOff>
    </xdr:from>
    <xdr:to>
      <xdr:col>22</xdr:col>
      <xdr:colOff>409575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9972675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63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287" TargetMode="External" /><Relationship Id="rId4" Type="http://schemas.openxmlformats.org/officeDocument/2006/relationships/hyperlink" Target="http://var.astro.cz/oejv/issues/oejv0074.pdf" TargetMode="External" /><Relationship Id="rId5" Type="http://schemas.openxmlformats.org/officeDocument/2006/relationships/hyperlink" Target="http://var.astro.cz/oejv/issues/oejv0074.pdf" TargetMode="External" /><Relationship Id="rId6" Type="http://schemas.openxmlformats.org/officeDocument/2006/relationships/hyperlink" Target="http://www.konkoly.hu/cgi-bin/IBVS?5287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var.astro.cz/oejv/issues/oejv0074.pdf" TargetMode="External" /><Relationship Id="rId10" Type="http://schemas.openxmlformats.org/officeDocument/2006/relationships/hyperlink" Target="http://www.bav-astro.de/sfs/BAVM_link.php?BAVMnr=158" TargetMode="External" /><Relationship Id="rId11" Type="http://schemas.openxmlformats.org/officeDocument/2006/relationships/hyperlink" Target="http://www.bav-astro.de/sfs/BAVM_link.php?BAVMnr=172" TargetMode="External" /><Relationship Id="rId12" Type="http://schemas.openxmlformats.org/officeDocument/2006/relationships/hyperlink" Target="http://var.astro.cz/oejv/issues/oejv0074.pdf" TargetMode="External" /><Relationship Id="rId13" Type="http://schemas.openxmlformats.org/officeDocument/2006/relationships/hyperlink" Target="http://www.bav-astro.de/sfs/BAVM_link.php?BAVMnr=178" TargetMode="External" /><Relationship Id="rId14" Type="http://schemas.openxmlformats.org/officeDocument/2006/relationships/hyperlink" Target="http://www.bav-astro.de/sfs/BAVM_link.php?BAVMnr=186" TargetMode="External" /><Relationship Id="rId15" Type="http://schemas.openxmlformats.org/officeDocument/2006/relationships/hyperlink" Target="http://www.bav-astro.de/sfs/BAVM_link.php?BAVMnr=214" TargetMode="External" /><Relationship Id="rId16" Type="http://schemas.openxmlformats.org/officeDocument/2006/relationships/hyperlink" Target="http://www.bav-astro.de/sfs/BAVM_link.php?BAVMnr=212" TargetMode="External" /><Relationship Id="rId17" Type="http://schemas.openxmlformats.org/officeDocument/2006/relationships/hyperlink" Target="http://var.astro.cz/oejv/issues/oejv0137.pdf" TargetMode="External" /><Relationship Id="rId18" Type="http://schemas.openxmlformats.org/officeDocument/2006/relationships/hyperlink" Target="http://www.konkoly.hu/cgi-bin/IBVS?5945" TargetMode="External" /><Relationship Id="rId19" Type="http://schemas.openxmlformats.org/officeDocument/2006/relationships/hyperlink" Target="http://www.bav-astro.de/sfs/BAVM_link.php?BAVMnr=220" TargetMode="External" /><Relationship Id="rId20" Type="http://schemas.openxmlformats.org/officeDocument/2006/relationships/hyperlink" Target="http://www.bav-astro.de/sfs/BAVM_link.php?BAVMnr=220" TargetMode="External" /><Relationship Id="rId21" Type="http://schemas.openxmlformats.org/officeDocument/2006/relationships/hyperlink" Target="http://var.astro.cz/oejv/issues/oejv0160.pdf" TargetMode="External" /><Relationship Id="rId22" Type="http://schemas.openxmlformats.org/officeDocument/2006/relationships/hyperlink" Target="http://var.astro.cz/oejv/issues/oejv0160.pdf" TargetMode="External" /><Relationship Id="rId23" Type="http://schemas.openxmlformats.org/officeDocument/2006/relationships/hyperlink" Target="http://www.bav-astro.de/sfs/BAVM_link.php?BAVMnr=225" TargetMode="External" /><Relationship Id="rId24" Type="http://schemas.openxmlformats.org/officeDocument/2006/relationships/hyperlink" Target="http://www.bav-astro.de/sfs/BAVM_link.php?BAVMnr=231" TargetMode="External" /><Relationship Id="rId25" Type="http://schemas.openxmlformats.org/officeDocument/2006/relationships/hyperlink" Target="http://var.astro.cz/oejv/issues/oejv0160.pdf" TargetMode="External" /><Relationship Id="rId26" Type="http://schemas.openxmlformats.org/officeDocument/2006/relationships/hyperlink" Target="http://var.astro.cz/oejv/issues/oejv01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pane xSplit="14" ySplit="22" topLeftCell="O23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1" sqref="F11"/>
    </sheetView>
  </sheetViews>
  <sheetFormatPr defaultColWidth="10.28125" defaultRowHeight="12.75"/>
  <cols>
    <col min="1" max="1" width="14.421875" style="0" customWidth="1"/>
    <col min="2" max="2" width="5.140625" style="5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60</v>
      </c>
    </row>
    <row r="2" spans="1:2" ht="12.75">
      <c r="A2" t="s">
        <v>24</v>
      </c>
      <c r="B2" s="12" t="s">
        <v>37</v>
      </c>
    </row>
    <row r="4" spans="1:4" ht="14.25" thickBot="1" thickTop="1">
      <c r="A4" s="7" t="s">
        <v>0</v>
      </c>
      <c r="C4" s="3">
        <v>28725.469</v>
      </c>
      <c r="D4" s="4">
        <v>2.3168937</v>
      </c>
    </row>
    <row r="5" spans="1:4" ht="13.5" thickTop="1">
      <c r="A5" s="16" t="s">
        <v>41</v>
      </c>
      <c r="B5" s="13"/>
      <c r="C5" s="17">
        <v>-9.5</v>
      </c>
      <c r="D5" s="13" t="s">
        <v>42</v>
      </c>
    </row>
    <row r="6" ht="12.75">
      <c r="A6" s="7" t="s">
        <v>1</v>
      </c>
    </row>
    <row r="7" spans="1:3" ht="12.75">
      <c r="A7" t="s">
        <v>2</v>
      </c>
      <c r="C7">
        <f>+C4</f>
        <v>28725.469</v>
      </c>
    </row>
    <row r="8" spans="1:3" ht="12.75">
      <c r="A8" t="s">
        <v>3</v>
      </c>
      <c r="C8">
        <f>+D4</f>
        <v>2.3168937</v>
      </c>
    </row>
    <row r="9" spans="1:4" ht="12.75">
      <c r="A9" s="31" t="s">
        <v>47</v>
      </c>
      <c r="B9" s="32">
        <v>28</v>
      </c>
      <c r="C9" s="29" t="str">
        <f>"F"&amp;B9</f>
        <v>F28</v>
      </c>
      <c r="D9" s="30" t="str">
        <f>"G"&amp;B9</f>
        <v>G28</v>
      </c>
    </row>
    <row r="10" spans="1:5" ht="13.5" thickBot="1">
      <c r="A10" s="13"/>
      <c r="B10" s="13"/>
      <c r="C10" s="6" t="s">
        <v>20</v>
      </c>
      <c r="D10" s="6" t="s">
        <v>21</v>
      </c>
      <c r="E10" s="13"/>
    </row>
    <row r="11" spans="1:5" ht="12.75">
      <c r="A11" s="13" t="s">
        <v>16</v>
      </c>
      <c r="B11" s="13"/>
      <c r="C11" s="28">
        <f ca="1">INTERCEPT(INDIRECT($D$9):G991,INDIRECT($C$9):F991)</f>
        <v>0.013011077078481117</v>
      </c>
      <c r="D11" s="5"/>
      <c r="E11" s="13"/>
    </row>
    <row r="12" spans="1:5" ht="12.75">
      <c r="A12" s="13" t="s">
        <v>17</v>
      </c>
      <c r="B12" s="13"/>
      <c r="C12" s="28">
        <f ca="1">SLOPE(INDIRECT($D$9):G991,INDIRECT($C$9):F991)</f>
        <v>-1.8259811046710615E-06</v>
      </c>
      <c r="D12" s="5"/>
      <c r="E12" s="13"/>
    </row>
    <row r="13" spans="1:3" ht="12.75">
      <c r="A13" s="13" t="s">
        <v>19</v>
      </c>
      <c r="B13" s="13"/>
      <c r="C13" s="5" t="s">
        <v>14</v>
      </c>
    </row>
    <row r="14" spans="1:3" ht="12.75">
      <c r="A14" s="13"/>
      <c r="B14" s="13"/>
      <c r="C14" s="13"/>
    </row>
    <row r="15" spans="1:6" ht="12.75">
      <c r="A15" s="18" t="s">
        <v>18</v>
      </c>
      <c r="B15" s="13"/>
      <c r="C15" s="19">
        <f>(C7+C11)+(C8+C12)*INT(MAX(F21:F3532))</f>
        <v>57640.29259883289</v>
      </c>
      <c r="E15" s="20" t="s">
        <v>53</v>
      </c>
      <c r="F15" s="17">
        <v>1</v>
      </c>
    </row>
    <row r="16" spans="1:6" ht="12.75">
      <c r="A16" s="22" t="s">
        <v>4</v>
      </c>
      <c r="B16" s="13"/>
      <c r="C16" s="23">
        <f>+C8+C12</f>
        <v>2.3168918740188955</v>
      </c>
      <c r="E16" s="20" t="s">
        <v>43</v>
      </c>
      <c r="F16" s="21">
        <f ca="1">NOW()+15018.5+$C$5/24</f>
        <v>59896.77194189814</v>
      </c>
    </row>
    <row r="17" spans="1:6" ht="13.5" thickBot="1">
      <c r="A17" s="20" t="s">
        <v>39</v>
      </c>
      <c r="B17" s="13"/>
      <c r="C17" s="13">
        <f>COUNT(C21:C2190)</f>
        <v>43</v>
      </c>
      <c r="E17" s="20" t="s">
        <v>54</v>
      </c>
      <c r="F17" s="21">
        <f>ROUND(2*(F16-$C$7)/$C$8,0)/2+F15</f>
        <v>13455</v>
      </c>
    </row>
    <row r="18" spans="1:6" ht="14.25" thickBot="1" thickTop="1">
      <c r="A18" s="22" t="s">
        <v>5</v>
      </c>
      <c r="B18" s="13"/>
      <c r="C18" s="25">
        <f>+C15</f>
        <v>57640.29259883289</v>
      </c>
      <c r="D18" s="26">
        <f>+C16</f>
        <v>2.3168918740188955</v>
      </c>
      <c r="E18" s="20" t="s">
        <v>44</v>
      </c>
      <c r="F18" s="30">
        <f>ROUND(2*(F16-$C$15)/$C$16,0)/2+F15</f>
        <v>975</v>
      </c>
    </row>
    <row r="19" spans="5:6" ht="13.5" thickTop="1">
      <c r="E19" s="20" t="s">
        <v>45</v>
      </c>
      <c r="F19" s="24">
        <f>+$C$15+$C$16*F18-15018.5-$C$5/24</f>
        <v>44881.15800933465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67</v>
      </c>
      <c r="I20" s="9" t="s">
        <v>70</v>
      </c>
      <c r="J20" s="9" t="s">
        <v>64</v>
      </c>
      <c r="K20" s="9" t="s">
        <v>50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63" t="s">
        <v>227</v>
      </c>
    </row>
    <row r="21" spans="1:17" ht="12.75">
      <c r="A21" t="s">
        <v>12</v>
      </c>
      <c r="C21" s="14">
        <v>28725.469</v>
      </c>
      <c r="D21" s="14" t="s">
        <v>14</v>
      </c>
      <c r="E21">
        <f aca="true" t="shared" si="0" ref="E21:E41">+(C21-C$7)/C$8</f>
        <v>0</v>
      </c>
      <c r="F21">
        <f aca="true" t="shared" si="1" ref="F21:F41">ROUND(2*E21,0)/2</f>
        <v>0</v>
      </c>
      <c r="H21">
        <v>0</v>
      </c>
      <c r="O21">
        <f aca="true" t="shared" si="2" ref="O21:O41">+C$11+C$12*F21</f>
        <v>0.013011077078481117</v>
      </c>
      <c r="Q21" s="2">
        <f aca="true" t="shared" si="3" ref="Q21:Q41">+C21-15018.5</f>
        <v>13706.969000000001</v>
      </c>
    </row>
    <row r="22" spans="1:17" ht="12.75">
      <c r="A22" s="61" t="s">
        <v>81</v>
      </c>
      <c r="B22" s="62" t="s">
        <v>35</v>
      </c>
      <c r="C22" s="61">
        <v>29485.4</v>
      </c>
      <c r="D22" s="61" t="s">
        <v>70</v>
      </c>
      <c r="E22">
        <f t="shared" si="0"/>
        <v>327.99562621280404</v>
      </c>
      <c r="F22">
        <f t="shared" si="1"/>
        <v>328</v>
      </c>
      <c r="G22">
        <f aca="true" t="shared" si="4" ref="G22:G33">+C22-(C$7+F22*C$8)</f>
        <v>-0.010133600000699516</v>
      </c>
      <c r="I22">
        <f aca="true" t="shared" si="5" ref="I22:I29">G22</f>
        <v>-0.010133600000699516</v>
      </c>
      <c r="O22">
        <f t="shared" si="2"/>
        <v>0.01241215527614901</v>
      </c>
      <c r="Q22" s="2">
        <f t="shared" si="3"/>
        <v>14466.900000000001</v>
      </c>
    </row>
    <row r="23" spans="1:17" ht="12.75">
      <c r="A23" s="61" t="s">
        <v>87</v>
      </c>
      <c r="B23" s="62" t="s">
        <v>35</v>
      </c>
      <c r="C23" s="61">
        <v>33894.44</v>
      </c>
      <c r="D23" s="61" t="s">
        <v>70</v>
      </c>
      <c r="E23">
        <f t="shared" si="0"/>
        <v>2230.9918663942162</v>
      </c>
      <c r="F23">
        <f t="shared" si="1"/>
        <v>2231</v>
      </c>
      <c r="G23">
        <f t="shared" si="4"/>
        <v>-0.018844699996407144</v>
      </c>
      <c r="I23">
        <f t="shared" si="5"/>
        <v>-0.018844699996407144</v>
      </c>
      <c r="O23">
        <f t="shared" si="2"/>
        <v>0.008937313233959979</v>
      </c>
      <c r="Q23" s="2">
        <f t="shared" si="3"/>
        <v>18875.940000000002</v>
      </c>
    </row>
    <row r="24" spans="1:17" ht="12.75">
      <c r="A24" s="61" t="s">
        <v>87</v>
      </c>
      <c r="B24" s="62" t="s">
        <v>35</v>
      </c>
      <c r="C24" s="61">
        <v>34603.446</v>
      </c>
      <c r="D24" s="61" t="s">
        <v>70</v>
      </c>
      <c r="E24">
        <f t="shared" si="0"/>
        <v>2537.0076322448467</v>
      </c>
      <c r="F24">
        <f t="shared" si="1"/>
        <v>2537</v>
      </c>
      <c r="G24">
        <f t="shared" si="4"/>
        <v>0.01768310000625206</v>
      </c>
      <c r="I24">
        <f t="shared" si="5"/>
        <v>0.01768310000625206</v>
      </c>
      <c r="O24">
        <f t="shared" si="2"/>
        <v>0.008378563015930634</v>
      </c>
      <c r="Q24" s="2">
        <f t="shared" si="3"/>
        <v>19584.946000000004</v>
      </c>
    </row>
    <row r="25" spans="1:17" ht="12.75">
      <c r="A25" s="61" t="s">
        <v>87</v>
      </c>
      <c r="B25" s="62" t="s">
        <v>35</v>
      </c>
      <c r="C25" s="61">
        <v>37520.435</v>
      </c>
      <c r="D25" s="61" t="s">
        <v>70</v>
      </c>
      <c r="E25">
        <f t="shared" si="0"/>
        <v>3796.0161918520457</v>
      </c>
      <c r="F25">
        <f t="shared" si="1"/>
        <v>3796</v>
      </c>
      <c r="G25">
        <f t="shared" si="4"/>
        <v>0.03751479999482399</v>
      </c>
      <c r="I25">
        <f t="shared" si="5"/>
        <v>0.03751479999482399</v>
      </c>
      <c r="O25">
        <f t="shared" si="2"/>
        <v>0.006079652805149768</v>
      </c>
      <c r="Q25" s="2">
        <f t="shared" si="3"/>
        <v>22501.934999999998</v>
      </c>
    </row>
    <row r="26" spans="1:17" ht="12.75">
      <c r="A26" s="61" t="s">
        <v>87</v>
      </c>
      <c r="B26" s="62" t="s">
        <v>35</v>
      </c>
      <c r="C26" s="61">
        <v>37550.46</v>
      </c>
      <c r="D26" s="61" t="s">
        <v>70</v>
      </c>
      <c r="E26">
        <f t="shared" si="0"/>
        <v>3808.9753535088803</v>
      </c>
      <c r="F26">
        <f t="shared" si="1"/>
        <v>3809</v>
      </c>
      <c r="G26">
        <f t="shared" si="4"/>
        <v>-0.057103300001472235</v>
      </c>
      <c r="I26">
        <f t="shared" si="5"/>
        <v>-0.057103300001472235</v>
      </c>
      <c r="O26">
        <f t="shared" si="2"/>
        <v>0.006055915050789043</v>
      </c>
      <c r="Q26" s="2">
        <f t="shared" si="3"/>
        <v>22531.96</v>
      </c>
    </row>
    <row r="27" spans="1:17" ht="12.75">
      <c r="A27" s="61" t="s">
        <v>87</v>
      </c>
      <c r="B27" s="62" t="s">
        <v>35</v>
      </c>
      <c r="C27" s="61">
        <v>37578.356</v>
      </c>
      <c r="D27" s="61" t="s">
        <v>70</v>
      </c>
      <c r="E27">
        <f t="shared" si="0"/>
        <v>3821.015612412429</v>
      </c>
      <c r="F27">
        <f t="shared" si="1"/>
        <v>3821</v>
      </c>
      <c r="G27">
        <f t="shared" si="4"/>
        <v>0.03617229999508709</v>
      </c>
      <c r="I27">
        <f t="shared" si="5"/>
        <v>0.03617229999508709</v>
      </c>
      <c r="O27">
        <f t="shared" si="2"/>
        <v>0.006034003277532991</v>
      </c>
      <c r="Q27" s="2">
        <f t="shared" si="3"/>
        <v>22559.856</v>
      </c>
    </row>
    <row r="28" spans="1:31" ht="12.75">
      <c r="A28" t="s">
        <v>30</v>
      </c>
      <c r="C28" s="14">
        <v>48400.53</v>
      </c>
      <c r="D28" s="14"/>
      <c r="E28">
        <f t="shared" si="0"/>
        <v>8491.999870343641</v>
      </c>
      <c r="F28">
        <f t="shared" si="1"/>
        <v>8492</v>
      </c>
      <c r="G28">
        <f t="shared" si="4"/>
        <v>-0.0003004000027431175</v>
      </c>
      <c r="I28">
        <f t="shared" si="5"/>
        <v>-0.0003004000027431175</v>
      </c>
      <c r="O28">
        <f t="shared" si="2"/>
        <v>-0.0024951544623855373</v>
      </c>
      <c r="Q28" s="2">
        <f t="shared" si="3"/>
        <v>33382.03</v>
      </c>
      <c r="AA28">
        <v>23</v>
      </c>
      <c r="AC28" t="s">
        <v>29</v>
      </c>
      <c r="AE28" t="s">
        <v>31</v>
      </c>
    </row>
    <row r="29" spans="1:31" ht="12.75">
      <c r="A29" t="s">
        <v>33</v>
      </c>
      <c r="C29" s="14">
        <v>50659.496</v>
      </c>
      <c r="D29" s="14">
        <v>0.0011</v>
      </c>
      <c r="E29">
        <f t="shared" si="0"/>
        <v>9466.997557980325</v>
      </c>
      <c r="F29">
        <f t="shared" si="1"/>
        <v>9467</v>
      </c>
      <c r="G29">
        <f t="shared" si="4"/>
        <v>-0.005657900001097005</v>
      </c>
      <c r="I29">
        <f t="shared" si="5"/>
        <v>-0.005657900001097005</v>
      </c>
      <c r="O29">
        <f t="shared" si="2"/>
        <v>-0.004275486039439821</v>
      </c>
      <c r="Q29" s="2">
        <f t="shared" si="3"/>
        <v>35640.996</v>
      </c>
      <c r="AA29">
        <v>13</v>
      </c>
      <c r="AC29" t="s">
        <v>32</v>
      </c>
      <c r="AE29" t="s">
        <v>31</v>
      </c>
    </row>
    <row r="30" spans="1:17" ht="12.75">
      <c r="A30" s="61" t="s">
        <v>112</v>
      </c>
      <c r="B30" s="62" t="s">
        <v>35</v>
      </c>
      <c r="C30" s="61">
        <v>50659.4962</v>
      </c>
      <c r="D30" s="61" t="s">
        <v>70</v>
      </c>
      <c r="E30">
        <f t="shared" si="0"/>
        <v>9466.9976443028</v>
      </c>
      <c r="F30">
        <f t="shared" si="1"/>
        <v>9467</v>
      </c>
      <c r="G30">
        <f t="shared" si="4"/>
        <v>-0.005457899998873472</v>
      </c>
      <c r="J30">
        <f>G30</f>
        <v>-0.005457899998873472</v>
      </c>
      <c r="O30">
        <f t="shared" si="2"/>
        <v>-0.004275486039439821</v>
      </c>
      <c r="Q30" s="2">
        <f t="shared" si="3"/>
        <v>35640.9962</v>
      </c>
    </row>
    <row r="31" spans="1:17" ht="12.75">
      <c r="A31" t="s">
        <v>34</v>
      </c>
      <c r="B31" s="11" t="s">
        <v>35</v>
      </c>
      <c r="C31" s="15">
        <v>51375.4166</v>
      </c>
      <c r="D31" s="15">
        <v>0.003</v>
      </c>
      <c r="E31">
        <f t="shared" si="0"/>
        <v>9775.997750781573</v>
      </c>
      <c r="F31">
        <f t="shared" si="1"/>
        <v>9776</v>
      </c>
      <c r="G31">
        <f t="shared" si="4"/>
        <v>-0.00521120000485098</v>
      </c>
      <c r="H31" s="10"/>
      <c r="K31">
        <f>G31</f>
        <v>-0.00521120000485098</v>
      </c>
      <c r="O31">
        <f t="shared" si="2"/>
        <v>-0.00483971420078318</v>
      </c>
      <c r="Q31" s="2">
        <f t="shared" si="3"/>
        <v>36356.9166</v>
      </c>
    </row>
    <row r="32" spans="1:17" ht="12.75">
      <c r="A32" t="s">
        <v>34</v>
      </c>
      <c r="B32" s="11" t="s">
        <v>35</v>
      </c>
      <c r="C32" s="15">
        <v>51433.3395</v>
      </c>
      <c r="D32" s="15">
        <v>0.0035</v>
      </c>
      <c r="E32">
        <f t="shared" si="0"/>
        <v>9800.997991405475</v>
      </c>
      <c r="F32">
        <f t="shared" si="1"/>
        <v>9801</v>
      </c>
      <c r="G32">
        <f t="shared" si="4"/>
        <v>-0.004653700001654215</v>
      </c>
      <c r="H32" s="10"/>
      <c r="K32">
        <f>G32</f>
        <v>-0.004653700001654215</v>
      </c>
      <c r="O32">
        <f t="shared" si="2"/>
        <v>-0.004885363728399955</v>
      </c>
      <c r="Q32" s="2">
        <f t="shared" si="3"/>
        <v>36414.8395</v>
      </c>
    </row>
    <row r="33" spans="1:17" ht="12.75">
      <c r="A33" t="s">
        <v>36</v>
      </c>
      <c r="B33" s="11" t="s">
        <v>35</v>
      </c>
      <c r="C33" s="15">
        <v>51697.4653</v>
      </c>
      <c r="D33" s="15">
        <v>0.002</v>
      </c>
      <c r="E33">
        <f t="shared" si="0"/>
        <v>9914.997956099583</v>
      </c>
      <c r="F33">
        <f t="shared" si="1"/>
        <v>9915</v>
      </c>
      <c r="G33">
        <f t="shared" si="4"/>
        <v>-0.004735499998787418</v>
      </c>
      <c r="H33" s="10"/>
      <c r="K33">
        <f>G33</f>
        <v>-0.004735499998787418</v>
      </c>
      <c r="O33">
        <f t="shared" si="2"/>
        <v>-0.005093525574332458</v>
      </c>
      <c r="Q33" s="2">
        <f t="shared" si="3"/>
        <v>36678.9653</v>
      </c>
    </row>
    <row r="34" spans="1:21" ht="12.75">
      <c r="A34" s="33" t="s">
        <v>48</v>
      </c>
      <c r="B34" s="34" t="s">
        <v>49</v>
      </c>
      <c r="C34" s="33">
        <v>51698.61</v>
      </c>
      <c r="D34" s="33">
        <v>0.006</v>
      </c>
      <c r="E34">
        <f t="shared" si="0"/>
        <v>9915.49202278896</v>
      </c>
      <c r="F34">
        <f t="shared" si="1"/>
        <v>9915.5</v>
      </c>
      <c r="O34">
        <f t="shared" si="2"/>
        <v>-0.0050944385648847915</v>
      </c>
      <c r="Q34" s="2">
        <f t="shared" si="3"/>
        <v>36680.11</v>
      </c>
      <c r="U34" s="30">
        <v>-0.018482350002159365</v>
      </c>
    </row>
    <row r="35" spans="1:17" ht="12.75">
      <c r="A35" s="33" t="s">
        <v>48</v>
      </c>
      <c r="B35" s="34" t="s">
        <v>35</v>
      </c>
      <c r="C35" s="33">
        <v>51704.41597</v>
      </c>
      <c r="D35" s="33">
        <v>0.003</v>
      </c>
      <c r="E35">
        <f t="shared" si="0"/>
        <v>9917.997951308686</v>
      </c>
      <c r="F35">
        <f t="shared" si="1"/>
        <v>9918</v>
      </c>
      <c r="G35">
        <f aca="true" t="shared" si="6" ref="G35:G63">+C35-(C$7+F35*C$8)</f>
        <v>-0.004746599995996803</v>
      </c>
      <c r="K35">
        <f>G35</f>
        <v>-0.004746599995996803</v>
      </c>
      <c r="O35">
        <f t="shared" si="2"/>
        <v>-0.005099003517646472</v>
      </c>
      <c r="Q35" s="2">
        <f t="shared" si="3"/>
        <v>36685.91597</v>
      </c>
    </row>
    <row r="36" spans="1:17" ht="12.75">
      <c r="A36" s="35" t="s">
        <v>36</v>
      </c>
      <c r="B36" s="36" t="s">
        <v>35</v>
      </c>
      <c r="C36" s="37">
        <v>51799.4096</v>
      </c>
      <c r="D36" s="37">
        <v>0.0019</v>
      </c>
      <c r="E36">
        <f t="shared" si="0"/>
        <v>9958.998377871198</v>
      </c>
      <c r="F36">
        <f t="shared" si="1"/>
        <v>9959</v>
      </c>
      <c r="G36">
        <f t="shared" si="6"/>
        <v>-0.003758300001209136</v>
      </c>
      <c r="K36">
        <f>G36</f>
        <v>-0.003758300001209136</v>
      </c>
      <c r="O36">
        <f t="shared" si="2"/>
        <v>-0.005173868742937984</v>
      </c>
      <c r="Q36" s="2">
        <f t="shared" si="3"/>
        <v>36780.9096</v>
      </c>
    </row>
    <row r="37" spans="1:17" ht="12.75">
      <c r="A37" s="33" t="s">
        <v>48</v>
      </c>
      <c r="B37" s="34" t="s">
        <v>49</v>
      </c>
      <c r="C37" s="33">
        <v>52085.54454</v>
      </c>
      <c r="D37" s="33">
        <v>0.0056</v>
      </c>
      <c r="E37">
        <f t="shared" si="0"/>
        <v>10082.497759823855</v>
      </c>
      <c r="F37">
        <f t="shared" si="1"/>
        <v>10082.5</v>
      </c>
      <c r="G37">
        <f t="shared" si="6"/>
        <v>-0.005190249998122454</v>
      </c>
      <c r="K37">
        <f>G37</f>
        <v>-0.005190249998122454</v>
      </c>
      <c r="O37">
        <f t="shared" si="2"/>
        <v>-0.005399377409364862</v>
      </c>
      <c r="Q37" s="2">
        <f t="shared" si="3"/>
        <v>37067.04454</v>
      </c>
    </row>
    <row r="38" spans="1:17" ht="12.75">
      <c r="A38" s="33" t="s">
        <v>48</v>
      </c>
      <c r="B38" s="34" t="s">
        <v>35</v>
      </c>
      <c r="C38" s="33">
        <v>52121.4532</v>
      </c>
      <c r="D38" s="33" t="s">
        <v>50</v>
      </c>
      <c r="E38">
        <f t="shared" si="0"/>
        <v>10097.996381966079</v>
      </c>
      <c r="F38">
        <f t="shared" si="1"/>
        <v>10098</v>
      </c>
      <c r="G38">
        <f t="shared" si="6"/>
        <v>-0.008382599997275975</v>
      </c>
      <c r="K38">
        <f>G38</f>
        <v>-0.008382599997275975</v>
      </c>
      <c r="O38">
        <f t="shared" si="2"/>
        <v>-0.0054276801164872615</v>
      </c>
      <c r="Q38" s="2">
        <f t="shared" si="3"/>
        <v>37102.9532</v>
      </c>
    </row>
    <row r="39" spans="1:17" ht="12.75">
      <c r="A39" s="33" t="s">
        <v>48</v>
      </c>
      <c r="B39" s="34" t="s">
        <v>49</v>
      </c>
      <c r="C39" s="33">
        <v>52428.44491</v>
      </c>
      <c r="D39" s="33">
        <v>0.0024</v>
      </c>
      <c r="E39">
        <f t="shared" si="0"/>
        <v>10230.49780402096</v>
      </c>
      <c r="F39">
        <f t="shared" si="1"/>
        <v>10230.5</v>
      </c>
      <c r="G39">
        <f t="shared" si="6"/>
        <v>-0.005087850004201755</v>
      </c>
      <c r="K39">
        <f>G39</f>
        <v>-0.005087850004201755</v>
      </c>
      <c r="O39">
        <f t="shared" si="2"/>
        <v>-0.005669622612856178</v>
      </c>
      <c r="Q39" s="2">
        <f t="shared" si="3"/>
        <v>37409.94491</v>
      </c>
    </row>
    <row r="40" spans="1:17" ht="12.75">
      <c r="A40" s="35" t="s">
        <v>28</v>
      </c>
      <c r="B40" s="38"/>
      <c r="C40" s="27">
        <v>52428.4463</v>
      </c>
      <c r="D40" s="27">
        <v>0.0016</v>
      </c>
      <c r="E40">
        <f t="shared" si="0"/>
        <v>10230.498403962169</v>
      </c>
      <c r="F40">
        <f t="shared" si="1"/>
        <v>10230.5</v>
      </c>
      <c r="G40">
        <f t="shared" si="6"/>
        <v>-0.0036978499992983416</v>
      </c>
      <c r="J40">
        <f>G40</f>
        <v>-0.0036978499992983416</v>
      </c>
      <c r="O40">
        <f t="shared" si="2"/>
        <v>-0.005669622612856178</v>
      </c>
      <c r="Q40" s="2">
        <f t="shared" si="3"/>
        <v>37409.9463</v>
      </c>
    </row>
    <row r="41" spans="1:17" ht="12.75">
      <c r="A41" s="39" t="s">
        <v>38</v>
      </c>
      <c r="B41" s="40"/>
      <c r="C41" s="41">
        <v>52794.5151</v>
      </c>
      <c r="D41" s="41">
        <v>0.0011</v>
      </c>
      <c r="E41">
        <f t="shared" si="0"/>
        <v>10388.498229331797</v>
      </c>
      <c r="F41">
        <f t="shared" si="1"/>
        <v>10388.5</v>
      </c>
      <c r="G41">
        <f t="shared" si="6"/>
        <v>-0.004102450002392288</v>
      </c>
      <c r="J41">
        <f>G41</f>
        <v>-0.004102450002392288</v>
      </c>
      <c r="O41">
        <f t="shared" si="2"/>
        <v>-0.005958127627394207</v>
      </c>
      <c r="Q41" s="2">
        <f t="shared" si="3"/>
        <v>37776.0151</v>
      </c>
    </row>
    <row r="42" spans="1:17" ht="12.75">
      <c r="A42" s="33" t="s">
        <v>48</v>
      </c>
      <c r="B42" s="34" t="s">
        <v>35</v>
      </c>
      <c r="C42" s="33">
        <v>52874.44355</v>
      </c>
      <c r="D42" s="33" t="s">
        <v>51</v>
      </c>
      <c r="E42" s="35">
        <f aca="true" t="shared" si="7" ref="E42:E63">+(C42-C$7)/C$8</f>
        <v>10422.99633772581</v>
      </c>
      <c r="F42">
        <f aca="true" t="shared" si="8" ref="F42:F63">ROUND(2*E42,0)/2</f>
        <v>10423</v>
      </c>
      <c r="G42">
        <f t="shared" si="6"/>
        <v>-0.00848509999923408</v>
      </c>
      <c r="K42">
        <f>G42</f>
        <v>-0.00848509999923408</v>
      </c>
      <c r="O42">
        <f aca="true" t="shared" si="9" ref="O42:O63">+C$11+C$12*F42</f>
        <v>-0.006021123975505357</v>
      </c>
      <c r="Q42" s="2">
        <f aca="true" t="shared" si="10" ref="Q42:Q63">+C42-15018.5</f>
        <v>37855.94355</v>
      </c>
    </row>
    <row r="43" spans="1:17" ht="12.75">
      <c r="A43" s="42" t="s">
        <v>40</v>
      </c>
      <c r="B43" s="40"/>
      <c r="C43" s="43">
        <v>53655.235</v>
      </c>
      <c r="D43" s="27">
        <v>0.001</v>
      </c>
      <c r="E43" s="35">
        <f t="shared" si="7"/>
        <v>10759.995592374393</v>
      </c>
      <c r="F43">
        <f t="shared" si="8"/>
        <v>10760</v>
      </c>
      <c r="G43">
        <f t="shared" si="6"/>
        <v>-0.010212000001047272</v>
      </c>
      <c r="J43">
        <f>G43</f>
        <v>-0.010212000001047272</v>
      </c>
      <c r="O43">
        <f t="shared" si="9"/>
        <v>-0.0066364796077795045</v>
      </c>
      <c r="Q43" s="2">
        <f t="shared" si="10"/>
        <v>38636.735</v>
      </c>
    </row>
    <row r="44" spans="1:17" ht="12.75">
      <c r="A44" s="27" t="s">
        <v>46</v>
      </c>
      <c r="B44" s="36"/>
      <c r="C44" s="27">
        <v>53993.5051</v>
      </c>
      <c r="D44" s="27">
        <v>0.0002</v>
      </c>
      <c r="E44" s="35">
        <f t="shared" si="7"/>
        <v>10905.99715472488</v>
      </c>
      <c r="F44">
        <f t="shared" si="8"/>
        <v>10906</v>
      </c>
      <c r="G44">
        <f t="shared" si="6"/>
        <v>-0.006592199999431614</v>
      </c>
      <c r="J44">
        <f>G44</f>
        <v>-0.006592199999431614</v>
      </c>
      <c r="O44">
        <f t="shared" si="9"/>
        <v>-0.0069030728490614805</v>
      </c>
      <c r="Q44" s="2">
        <f t="shared" si="10"/>
        <v>38975.0051</v>
      </c>
    </row>
    <row r="45" spans="1:17" ht="12.75">
      <c r="A45" s="44" t="s">
        <v>56</v>
      </c>
      <c r="B45" s="45" t="s">
        <v>35</v>
      </c>
      <c r="C45" s="44">
        <v>55075.4922</v>
      </c>
      <c r="D45" s="44">
        <v>0.0001</v>
      </c>
      <c r="E45" s="35">
        <f t="shared" si="7"/>
        <v>11372.99618018729</v>
      </c>
      <c r="F45">
        <f t="shared" si="8"/>
        <v>11373</v>
      </c>
      <c r="G45">
        <f t="shared" si="6"/>
        <v>-0.00885010000638431</v>
      </c>
      <c r="J45">
        <f>G45</f>
        <v>-0.00885010000638431</v>
      </c>
      <c r="O45">
        <f t="shared" si="9"/>
        <v>-0.007755806024942864</v>
      </c>
      <c r="Q45" s="2">
        <f t="shared" si="10"/>
        <v>40056.9922</v>
      </c>
    </row>
    <row r="46" spans="1:17" ht="12.75">
      <c r="A46" s="61" t="s">
        <v>184</v>
      </c>
      <c r="B46" s="62" t="s">
        <v>35</v>
      </c>
      <c r="C46" s="61">
        <v>55082.4439</v>
      </c>
      <c r="D46" s="61" t="s">
        <v>70</v>
      </c>
      <c r="E46">
        <f t="shared" si="7"/>
        <v>11375.996619957143</v>
      </c>
      <c r="F46">
        <f t="shared" si="8"/>
        <v>11376</v>
      </c>
      <c r="G46">
        <f t="shared" si="6"/>
        <v>-0.007831200004147831</v>
      </c>
      <c r="K46">
        <f>G46</f>
        <v>-0.007831200004147831</v>
      </c>
      <c r="O46">
        <f t="shared" si="9"/>
        <v>-0.007761283968256878</v>
      </c>
      <c r="Q46" s="2">
        <f t="shared" si="10"/>
        <v>40063.9439</v>
      </c>
    </row>
    <row r="47" spans="1:17" ht="12.75">
      <c r="A47" s="42" t="s">
        <v>55</v>
      </c>
      <c r="B47" s="38" t="s">
        <v>49</v>
      </c>
      <c r="C47" s="27">
        <v>55352.36258</v>
      </c>
      <c r="D47" s="27">
        <v>0.0004</v>
      </c>
      <c r="E47" s="35">
        <f t="shared" si="7"/>
        <v>11492.496863364944</v>
      </c>
      <c r="F47">
        <f t="shared" si="8"/>
        <v>11492.5</v>
      </c>
      <c r="G47">
        <f t="shared" si="6"/>
        <v>-0.00726724999549333</v>
      </c>
      <c r="K47">
        <f>G47</f>
        <v>-0.00726724999549333</v>
      </c>
      <c r="O47">
        <f t="shared" si="9"/>
        <v>-0.007974010766951058</v>
      </c>
      <c r="Q47" s="2">
        <f t="shared" si="10"/>
        <v>40333.86258</v>
      </c>
    </row>
    <row r="48" spans="1:17" ht="12.75">
      <c r="A48" s="44" t="s">
        <v>52</v>
      </c>
      <c r="B48" s="45" t="s">
        <v>35</v>
      </c>
      <c r="C48" s="44">
        <v>55362.7891</v>
      </c>
      <c r="D48" s="44">
        <v>0.0003</v>
      </c>
      <c r="E48" s="35">
        <f t="shared" si="7"/>
        <v>11496.997078458973</v>
      </c>
      <c r="F48">
        <f t="shared" si="8"/>
        <v>11497</v>
      </c>
      <c r="G48">
        <f t="shared" si="6"/>
        <v>-0.006768899998860434</v>
      </c>
      <c r="K48">
        <f>G48</f>
        <v>-0.006768899998860434</v>
      </c>
      <c r="O48">
        <f t="shared" si="9"/>
        <v>-0.007982227681922076</v>
      </c>
      <c r="Q48" s="2">
        <f t="shared" si="10"/>
        <v>40344.2891</v>
      </c>
    </row>
    <row r="49" spans="1:17" ht="12.75">
      <c r="A49" s="44" t="s">
        <v>57</v>
      </c>
      <c r="B49" s="45" t="s">
        <v>49</v>
      </c>
      <c r="C49" s="44">
        <v>55711.4824</v>
      </c>
      <c r="D49" s="44">
        <v>0.0057</v>
      </c>
      <c r="E49" s="35">
        <f t="shared" si="7"/>
        <v>11647.497422950391</v>
      </c>
      <c r="F49">
        <f t="shared" si="8"/>
        <v>11647.5</v>
      </c>
      <c r="G49">
        <f t="shared" si="6"/>
        <v>-0.005970749996777158</v>
      </c>
      <c r="J49">
        <f>G49</f>
        <v>-0.005970749996777158</v>
      </c>
      <c r="O49">
        <f t="shared" si="9"/>
        <v>-0.008257037838175073</v>
      </c>
      <c r="Q49" s="2">
        <f t="shared" si="10"/>
        <v>40692.9824</v>
      </c>
    </row>
    <row r="50" spans="1:17" ht="12.75">
      <c r="A50" s="44" t="s">
        <v>57</v>
      </c>
      <c r="B50" s="45" t="s">
        <v>35</v>
      </c>
      <c r="C50" s="44">
        <v>55740.4414</v>
      </c>
      <c r="D50" s="44">
        <v>0.001</v>
      </c>
      <c r="E50" s="35">
        <f t="shared" si="7"/>
        <v>11659.996485812017</v>
      </c>
      <c r="F50">
        <f t="shared" si="8"/>
        <v>11660</v>
      </c>
      <c r="G50">
        <f t="shared" si="6"/>
        <v>-0.008141999998770189</v>
      </c>
      <c r="J50">
        <f>G50</f>
        <v>-0.008141999998770189</v>
      </c>
      <c r="O50">
        <f t="shared" si="9"/>
        <v>-0.008279862601983459</v>
      </c>
      <c r="Q50" s="2">
        <f t="shared" si="10"/>
        <v>40721.9414</v>
      </c>
    </row>
    <row r="51" spans="1:17" ht="12.75">
      <c r="A51" s="64" t="s">
        <v>58</v>
      </c>
      <c r="B51" s="65" t="s">
        <v>35</v>
      </c>
      <c r="C51" s="66">
        <v>55798.36187</v>
      </c>
      <c r="D51" s="66">
        <v>0.0003</v>
      </c>
      <c r="E51" s="35">
        <f t="shared" si="7"/>
        <v>11684.995677617837</v>
      </c>
      <c r="F51">
        <f t="shared" si="8"/>
        <v>11685</v>
      </c>
      <c r="G51">
        <f t="shared" si="6"/>
        <v>-0.0100144999960321</v>
      </c>
      <c r="K51">
        <f>G51</f>
        <v>-0.0100144999960321</v>
      </c>
      <c r="O51">
        <f t="shared" si="9"/>
        <v>-0.008325512129600237</v>
      </c>
      <c r="Q51" s="2">
        <f t="shared" si="10"/>
        <v>40779.86187</v>
      </c>
    </row>
    <row r="52" spans="1:17" ht="12.75">
      <c r="A52" s="64" t="s">
        <v>58</v>
      </c>
      <c r="B52" s="65" t="s">
        <v>35</v>
      </c>
      <c r="C52" s="66">
        <v>55798.36247</v>
      </c>
      <c r="D52" s="66">
        <v>0.0003</v>
      </c>
      <c r="E52" s="35">
        <f t="shared" si="7"/>
        <v>11684.995936585265</v>
      </c>
      <c r="F52">
        <f t="shared" si="8"/>
        <v>11685</v>
      </c>
      <c r="G52">
        <f t="shared" si="6"/>
        <v>-0.00941449999663746</v>
      </c>
      <c r="K52">
        <f>G52</f>
        <v>-0.00941449999663746</v>
      </c>
      <c r="O52">
        <f t="shared" si="9"/>
        <v>-0.008325512129600237</v>
      </c>
      <c r="Q52" s="2">
        <f t="shared" si="10"/>
        <v>40779.86247</v>
      </c>
    </row>
    <row r="53" spans="1:17" ht="12.75">
      <c r="A53" s="66" t="s">
        <v>214</v>
      </c>
      <c r="B53" s="65" t="s">
        <v>49</v>
      </c>
      <c r="C53" s="66">
        <v>55799.521</v>
      </c>
      <c r="D53" s="66" t="s">
        <v>70</v>
      </c>
      <c r="E53">
        <f t="shared" si="7"/>
        <v>11685.495972473835</v>
      </c>
      <c r="F53">
        <f t="shared" si="8"/>
        <v>11685.5</v>
      </c>
      <c r="G53">
        <f t="shared" si="6"/>
        <v>-0.009331350003776606</v>
      </c>
      <c r="I53">
        <f>G53</f>
        <v>-0.009331350003776606</v>
      </c>
      <c r="O53">
        <f t="shared" si="9"/>
        <v>-0.00832642512015257</v>
      </c>
      <c r="Q53" s="2">
        <f t="shared" si="10"/>
        <v>40781.021</v>
      </c>
    </row>
    <row r="54" spans="1:17" ht="12.75">
      <c r="A54" s="64" t="s">
        <v>59</v>
      </c>
      <c r="B54" s="65" t="s">
        <v>35</v>
      </c>
      <c r="C54" s="66">
        <v>56229.305</v>
      </c>
      <c r="D54" s="66">
        <v>0.0004</v>
      </c>
      <c r="E54" s="35">
        <f t="shared" si="7"/>
        <v>11870.99606684588</v>
      </c>
      <c r="F54">
        <f t="shared" si="8"/>
        <v>11871</v>
      </c>
      <c r="G54">
        <f t="shared" si="6"/>
        <v>-0.009112699997785967</v>
      </c>
      <c r="J54">
        <f>G54</f>
        <v>-0.009112699997785967</v>
      </c>
      <c r="O54">
        <f t="shared" si="9"/>
        <v>-0.008665144615069054</v>
      </c>
      <c r="Q54" s="2">
        <f t="shared" si="10"/>
        <v>41210.805</v>
      </c>
    </row>
    <row r="55" spans="1:17" ht="12.75">
      <c r="A55" s="64" t="s">
        <v>58</v>
      </c>
      <c r="B55" s="65" t="s">
        <v>49</v>
      </c>
      <c r="C55" s="66">
        <v>56464.47105</v>
      </c>
      <c r="D55" s="66">
        <v>0.0009</v>
      </c>
      <c r="E55" s="35">
        <f t="shared" si="7"/>
        <v>11972.49664496908</v>
      </c>
      <c r="F55">
        <f t="shared" si="8"/>
        <v>11972.5</v>
      </c>
      <c r="G55">
        <f t="shared" si="6"/>
        <v>-0.007773249999445397</v>
      </c>
      <c r="K55">
        <f aca="true" t="shared" si="11" ref="K55:K63">G55</f>
        <v>-0.007773249999445397</v>
      </c>
      <c r="O55">
        <f t="shared" si="9"/>
        <v>-0.008850481697193168</v>
      </c>
      <c r="Q55" s="2">
        <f t="shared" si="10"/>
        <v>41445.97105</v>
      </c>
    </row>
    <row r="56" spans="1:17" ht="12.75">
      <c r="A56" s="64" t="s">
        <v>58</v>
      </c>
      <c r="B56" s="65" t="s">
        <v>49</v>
      </c>
      <c r="C56" s="66">
        <v>56464.47339</v>
      </c>
      <c r="D56" s="66">
        <v>0.0012</v>
      </c>
      <c r="E56" s="35">
        <f t="shared" si="7"/>
        <v>11972.497654942044</v>
      </c>
      <c r="F56">
        <f t="shared" si="8"/>
        <v>11972.5</v>
      </c>
      <c r="G56">
        <f t="shared" si="6"/>
        <v>-0.005433250000351109</v>
      </c>
      <c r="K56">
        <f t="shared" si="11"/>
        <v>-0.005433250000351109</v>
      </c>
      <c r="O56">
        <f t="shared" si="9"/>
        <v>-0.008850481697193168</v>
      </c>
      <c r="Q56" s="2">
        <f t="shared" si="10"/>
        <v>41445.97339</v>
      </c>
    </row>
    <row r="57" spans="1:17" ht="12.75">
      <c r="A57" s="67" t="s">
        <v>228</v>
      </c>
      <c r="B57" s="68" t="s">
        <v>49</v>
      </c>
      <c r="C57" s="69">
        <v>56960.28345</v>
      </c>
      <c r="D57" s="69">
        <v>0.0003</v>
      </c>
      <c r="E57" s="35">
        <f t="shared" si="7"/>
        <v>12186.4954140969</v>
      </c>
      <c r="F57">
        <f t="shared" si="8"/>
        <v>12186.5</v>
      </c>
      <c r="G57">
        <f t="shared" si="6"/>
        <v>-0.010625049995724112</v>
      </c>
      <c r="K57">
        <f t="shared" si="11"/>
        <v>-0.010625049995724112</v>
      </c>
      <c r="O57">
        <f t="shared" si="9"/>
        <v>-0.009241241653592774</v>
      </c>
      <c r="Q57" s="2">
        <f t="shared" si="10"/>
        <v>41941.78345</v>
      </c>
    </row>
    <row r="58" spans="1:17" ht="12.75">
      <c r="A58" s="67" t="s">
        <v>228</v>
      </c>
      <c r="B58" s="68" t="s">
        <v>49</v>
      </c>
      <c r="C58" s="69">
        <v>56960.28504</v>
      </c>
      <c r="D58" s="69">
        <v>0.0004</v>
      </c>
      <c r="E58" s="35">
        <f t="shared" si="7"/>
        <v>12186.496100360582</v>
      </c>
      <c r="F58">
        <f t="shared" si="8"/>
        <v>12186.5</v>
      </c>
      <c r="G58">
        <f t="shared" si="6"/>
        <v>-0.009035049995873123</v>
      </c>
      <c r="K58">
        <f t="shared" si="11"/>
        <v>-0.009035049995873123</v>
      </c>
      <c r="O58">
        <f t="shared" si="9"/>
        <v>-0.009241241653592774</v>
      </c>
      <c r="Q58" s="2">
        <f t="shared" si="10"/>
        <v>41941.78504</v>
      </c>
    </row>
    <row r="59" spans="1:17" ht="12.75">
      <c r="A59" s="67" t="s">
        <v>228</v>
      </c>
      <c r="B59" s="68" t="s">
        <v>49</v>
      </c>
      <c r="C59" s="69">
        <v>56960.28603</v>
      </c>
      <c r="D59" s="69">
        <v>0.0008</v>
      </c>
      <c r="E59" s="35">
        <f t="shared" si="7"/>
        <v>12186.496527656836</v>
      </c>
      <c r="F59">
        <f t="shared" si="8"/>
        <v>12186.5</v>
      </c>
      <c r="G59">
        <f t="shared" si="6"/>
        <v>-0.008045049995416775</v>
      </c>
      <c r="K59">
        <f t="shared" si="11"/>
        <v>-0.008045049995416775</v>
      </c>
      <c r="O59">
        <f t="shared" si="9"/>
        <v>-0.009241241653592774</v>
      </c>
      <c r="Q59" s="2">
        <f t="shared" si="10"/>
        <v>41941.78603</v>
      </c>
    </row>
    <row r="60" spans="1:17" ht="12.75">
      <c r="A60" s="67" t="s">
        <v>228</v>
      </c>
      <c r="B60" s="68" t="s">
        <v>35</v>
      </c>
      <c r="C60" s="69">
        <v>57568.46865</v>
      </c>
      <c r="D60" s="69">
        <v>0.0001</v>
      </c>
      <c r="E60" s="35">
        <f t="shared" si="7"/>
        <v>12448.995674682874</v>
      </c>
      <c r="F60">
        <f t="shared" si="8"/>
        <v>12449</v>
      </c>
      <c r="G60">
        <f t="shared" si="6"/>
        <v>-0.01002130000415491</v>
      </c>
      <c r="K60">
        <f t="shared" si="11"/>
        <v>-0.01002130000415491</v>
      </c>
      <c r="O60">
        <f t="shared" si="9"/>
        <v>-0.009720561693568927</v>
      </c>
      <c r="Q60" s="2">
        <f t="shared" si="10"/>
        <v>42549.96865</v>
      </c>
    </row>
    <row r="61" spans="1:17" ht="12.75">
      <c r="A61" s="67" t="s">
        <v>228</v>
      </c>
      <c r="B61" s="68" t="s">
        <v>35</v>
      </c>
      <c r="C61" s="69">
        <v>57568.46877</v>
      </c>
      <c r="D61" s="69">
        <v>0.0001</v>
      </c>
      <c r="E61" s="35">
        <f t="shared" si="7"/>
        <v>12448.995726476358</v>
      </c>
      <c r="F61">
        <f t="shared" si="8"/>
        <v>12449</v>
      </c>
      <c r="G61">
        <f t="shared" si="6"/>
        <v>-0.009901300007186364</v>
      </c>
      <c r="K61">
        <f t="shared" si="11"/>
        <v>-0.009901300007186364</v>
      </c>
      <c r="O61">
        <f t="shared" si="9"/>
        <v>-0.009720561693568927</v>
      </c>
      <c r="Q61" s="2">
        <f t="shared" si="10"/>
        <v>42549.96877</v>
      </c>
    </row>
    <row r="62" spans="1:17" ht="12.75">
      <c r="A62" s="67" t="s">
        <v>228</v>
      </c>
      <c r="B62" s="68" t="s">
        <v>35</v>
      </c>
      <c r="C62" s="69">
        <v>57633.34179</v>
      </c>
      <c r="D62" s="69">
        <v>0.0001</v>
      </c>
      <c r="E62" s="35">
        <f t="shared" si="7"/>
        <v>12476.995724922554</v>
      </c>
      <c r="F62">
        <f t="shared" si="8"/>
        <v>12477</v>
      </c>
      <c r="G62">
        <f t="shared" si="6"/>
        <v>-0.00990490000549471</v>
      </c>
      <c r="K62">
        <f t="shared" si="11"/>
        <v>-0.00990490000549471</v>
      </c>
      <c r="O62">
        <f t="shared" si="9"/>
        <v>-0.009771689164499716</v>
      </c>
      <c r="Q62" s="2">
        <f t="shared" si="10"/>
        <v>42614.84179</v>
      </c>
    </row>
    <row r="63" spans="1:17" ht="12.75">
      <c r="A63" s="67" t="s">
        <v>228</v>
      </c>
      <c r="B63" s="68" t="s">
        <v>35</v>
      </c>
      <c r="C63" s="69">
        <v>57640.2922</v>
      </c>
      <c r="D63" s="69">
        <v>0.0001</v>
      </c>
      <c r="E63" s="35">
        <f t="shared" si="7"/>
        <v>12479.99560791244</v>
      </c>
      <c r="F63">
        <f t="shared" si="8"/>
        <v>12480</v>
      </c>
      <c r="G63">
        <f t="shared" si="6"/>
        <v>-0.0101760000034119</v>
      </c>
      <c r="K63">
        <f t="shared" si="11"/>
        <v>-0.0101760000034119</v>
      </c>
      <c r="O63">
        <f t="shared" si="9"/>
        <v>-0.00977716710781373</v>
      </c>
      <c r="Q63" s="2">
        <f t="shared" si="10"/>
        <v>42621.7922</v>
      </c>
    </row>
  </sheetData>
  <sheetProtection/>
  <hyperlinks>
    <hyperlink ref="H1070" r:id="rId1" display="http://vsolj.cetus-net.org/bulletin.html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2"/>
  <sheetViews>
    <sheetView zoomScalePageLayoutView="0" workbookViewId="0" topLeftCell="A1">
      <selection activeCell="A36" sqref="A36:D45"/>
    </sheetView>
  </sheetViews>
  <sheetFormatPr defaultColWidth="9.140625" defaultRowHeight="12.75"/>
  <cols>
    <col min="1" max="1" width="19.7109375" style="47" customWidth="1"/>
    <col min="2" max="2" width="4.421875" style="13" customWidth="1"/>
    <col min="3" max="3" width="12.7109375" style="47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47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46" t="s">
        <v>61</v>
      </c>
      <c r="I1" s="48" t="s">
        <v>62</v>
      </c>
      <c r="J1" s="49" t="s">
        <v>50</v>
      </c>
    </row>
    <row r="2" spans="9:10" ht="12.75">
      <c r="I2" s="50" t="s">
        <v>63</v>
      </c>
      <c r="J2" s="51" t="s">
        <v>64</v>
      </c>
    </row>
    <row r="3" spans="1:10" ht="12.75">
      <c r="A3" s="52" t="s">
        <v>65</v>
      </c>
      <c r="I3" s="50" t="s">
        <v>66</v>
      </c>
      <c r="J3" s="51" t="s">
        <v>67</v>
      </c>
    </row>
    <row r="4" spans="9:10" ht="12.75">
      <c r="I4" s="50" t="s">
        <v>68</v>
      </c>
      <c r="J4" s="51" t="s">
        <v>67</v>
      </c>
    </row>
    <row r="5" spans="9:10" ht="13.5" thickBot="1">
      <c r="I5" s="53" t="s">
        <v>69</v>
      </c>
      <c r="J5" s="54" t="s">
        <v>70</v>
      </c>
    </row>
    <row r="10" ht="13.5" thickBot="1"/>
    <row r="11" spans="1:16" ht="12.75" customHeight="1" thickBot="1">
      <c r="A11" s="47" t="str">
        <f aca="true" t="shared" si="0" ref="A11:A45">P11</f>
        <v> PZ 6.212 </v>
      </c>
      <c r="B11" s="5" t="str">
        <f aca="true" t="shared" si="1" ref="B11:B45">IF(H11=INT(H11),"I","II")</f>
        <v>I</v>
      </c>
      <c r="C11" s="47">
        <f aca="true" t="shared" si="2" ref="C11:C45">1*G11</f>
        <v>28725.469</v>
      </c>
      <c r="D11" s="13" t="str">
        <f aca="true" t="shared" si="3" ref="D11:D45">VLOOKUP(F11,I$1:J$5,2,FALSE)</f>
        <v>vis</v>
      </c>
      <c r="E11" s="55">
        <f>VLOOKUP(C11,A!C$21:E$972,3,FALSE)</f>
        <v>0</v>
      </c>
      <c r="F11" s="5" t="s">
        <v>69</v>
      </c>
      <c r="G11" s="13" t="str">
        <f aca="true" t="shared" si="4" ref="G11:G45">MID(I11,3,LEN(I11)-3)</f>
        <v>28725.469</v>
      </c>
      <c r="H11" s="47">
        <f aca="true" t="shared" si="5" ref="H11:H45">1*K11</f>
        <v>0</v>
      </c>
      <c r="I11" s="56" t="s">
        <v>72</v>
      </c>
      <c r="J11" s="57" t="s">
        <v>73</v>
      </c>
      <c r="K11" s="56">
        <v>0</v>
      </c>
      <c r="L11" s="56" t="s">
        <v>74</v>
      </c>
      <c r="M11" s="57" t="s">
        <v>71</v>
      </c>
      <c r="N11" s="57"/>
      <c r="O11" s="58" t="s">
        <v>75</v>
      </c>
      <c r="P11" s="58" t="s">
        <v>76</v>
      </c>
    </row>
    <row r="12" spans="1:16" ht="12.75" customHeight="1" thickBot="1">
      <c r="A12" s="47" t="str">
        <f t="shared" si="0"/>
        <v> BBS 98 </v>
      </c>
      <c r="B12" s="5" t="str">
        <f t="shared" si="1"/>
        <v>I</v>
      </c>
      <c r="C12" s="47">
        <f t="shared" si="2"/>
        <v>48400.53</v>
      </c>
      <c r="D12" s="13" t="str">
        <f t="shared" si="3"/>
        <v>vis</v>
      </c>
      <c r="E12" s="55">
        <f>VLOOKUP(C12,A!C$21:E$972,3,FALSE)</f>
        <v>8491.999870343641</v>
      </c>
      <c r="F12" s="5" t="s">
        <v>69</v>
      </c>
      <c r="G12" s="13" t="str">
        <f t="shared" si="4"/>
        <v>48400.530</v>
      </c>
      <c r="H12" s="47">
        <f t="shared" si="5"/>
        <v>8492</v>
      </c>
      <c r="I12" s="56" t="s">
        <v>100</v>
      </c>
      <c r="J12" s="57" t="s">
        <v>101</v>
      </c>
      <c r="K12" s="56">
        <v>8492</v>
      </c>
      <c r="L12" s="56" t="s">
        <v>102</v>
      </c>
      <c r="M12" s="57" t="s">
        <v>103</v>
      </c>
      <c r="N12" s="57"/>
      <c r="O12" s="58" t="s">
        <v>104</v>
      </c>
      <c r="P12" s="58" t="s">
        <v>105</v>
      </c>
    </row>
    <row r="13" spans="1:16" ht="12.75" customHeight="1" thickBot="1">
      <c r="A13" s="47" t="str">
        <f t="shared" si="0"/>
        <v>IBVS 5263 </v>
      </c>
      <c r="B13" s="5" t="str">
        <f t="shared" si="1"/>
        <v>I</v>
      </c>
      <c r="C13" s="47">
        <f t="shared" si="2"/>
        <v>51375.4166</v>
      </c>
      <c r="D13" s="13" t="str">
        <f t="shared" si="3"/>
        <v>vis</v>
      </c>
      <c r="E13" s="55">
        <f>VLOOKUP(C13,A!C$21:E$972,3,FALSE)</f>
        <v>9775.997750781573</v>
      </c>
      <c r="F13" s="5" t="s">
        <v>69</v>
      </c>
      <c r="G13" s="13" t="str">
        <f t="shared" si="4"/>
        <v>51375.4166</v>
      </c>
      <c r="H13" s="47">
        <f t="shared" si="5"/>
        <v>9776</v>
      </c>
      <c r="I13" s="56" t="s">
        <v>113</v>
      </c>
      <c r="J13" s="57" t="s">
        <v>114</v>
      </c>
      <c r="K13" s="56">
        <v>9776</v>
      </c>
      <c r="L13" s="56" t="s">
        <v>115</v>
      </c>
      <c r="M13" s="57" t="s">
        <v>109</v>
      </c>
      <c r="N13" s="57" t="s">
        <v>110</v>
      </c>
      <c r="O13" s="58" t="s">
        <v>116</v>
      </c>
      <c r="P13" s="59" t="s">
        <v>117</v>
      </c>
    </row>
    <row r="14" spans="1:16" ht="12.75" customHeight="1" thickBot="1">
      <c r="A14" s="47" t="str">
        <f t="shared" si="0"/>
        <v>IBVS 5263 </v>
      </c>
      <c r="B14" s="5" t="str">
        <f t="shared" si="1"/>
        <v>I</v>
      </c>
      <c r="C14" s="47">
        <f t="shared" si="2"/>
        <v>51433.3395</v>
      </c>
      <c r="D14" s="13" t="str">
        <f t="shared" si="3"/>
        <v>vis</v>
      </c>
      <c r="E14" s="55">
        <f>VLOOKUP(C14,A!C$21:E$972,3,FALSE)</f>
        <v>9800.997991405475</v>
      </c>
      <c r="F14" s="5" t="s">
        <v>69</v>
      </c>
      <c r="G14" s="13" t="str">
        <f t="shared" si="4"/>
        <v>51433.3395</v>
      </c>
      <c r="H14" s="47">
        <f t="shared" si="5"/>
        <v>9801</v>
      </c>
      <c r="I14" s="56" t="s">
        <v>118</v>
      </c>
      <c r="J14" s="57" t="s">
        <v>119</v>
      </c>
      <c r="K14" s="56">
        <v>9801</v>
      </c>
      <c r="L14" s="56" t="s">
        <v>120</v>
      </c>
      <c r="M14" s="57" t="s">
        <v>109</v>
      </c>
      <c r="N14" s="57" t="s">
        <v>110</v>
      </c>
      <c r="O14" s="58" t="s">
        <v>116</v>
      </c>
      <c r="P14" s="59" t="s">
        <v>117</v>
      </c>
    </row>
    <row r="15" spans="1:16" ht="12.75" customHeight="1" thickBot="1">
      <c r="A15" s="47" t="str">
        <f t="shared" si="0"/>
        <v>IBVS 5287 </v>
      </c>
      <c r="B15" s="5" t="str">
        <f t="shared" si="1"/>
        <v>I</v>
      </c>
      <c r="C15" s="47">
        <f t="shared" si="2"/>
        <v>51697.4653</v>
      </c>
      <c r="D15" s="13" t="str">
        <f t="shared" si="3"/>
        <v>vis</v>
      </c>
      <c r="E15" s="55">
        <f>VLOOKUP(C15,A!C$21:E$972,3,FALSE)</f>
        <v>9914.997956099583</v>
      </c>
      <c r="F15" s="5" t="s">
        <v>69</v>
      </c>
      <c r="G15" s="13" t="str">
        <f t="shared" si="4"/>
        <v>51697.4653</v>
      </c>
      <c r="H15" s="47">
        <f t="shared" si="5"/>
        <v>9915</v>
      </c>
      <c r="I15" s="56" t="s">
        <v>121</v>
      </c>
      <c r="J15" s="57" t="s">
        <v>122</v>
      </c>
      <c r="K15" s="56">
        <v>9915</v>
      </c>
      <c r="L15" s="56" t="s">
        <v>120</v>
      </c>
      <c r="M15" s="57" t="s">
        <v>109</v>
      </c>
      <c r="N15" s="57" t="s">
        <v>110</v>
      </c>
      <c r="O15" s="58" t="s">
        <v>123</v>
      </c>
      <c r="P15" s="59" t="s">
        <v>124</v>
      </c>
    </row>
    <row r="16" spans="1:16" ht="12.75" customHeight="1" thickBot="1">
      <c r="A16" s="47" t="str">
        <f t="shared" si="0"/>
        <v>OEJV 0074 </v>
      </c>
      <c r="B16" s="5" t="str">
        <f t="shared" si="1"/>
        <v>II</v>
      </c>
      <c r="C16" s="47">
        <f t="shared" si="2"/>
        <v>51698.61</v>
      </c>
      <c r="D16" s="13" t="str">
        <f t="shared" si="3"/>
        <v>vis</v>
      </c>
      <c r="E16" s="55">
        <f>VLOOKUP(C16,A!C$21:E$972,3,FALSE)</f>
        <v>9915.49202278896</v>
      </c>
      <c r="F16" s="5" t="s">
        <v>69</v>
      </c>
      <c r="G16" s="13" t="str">
        <f t="shared" si="4"/>
        <v>51698.61000</v>
      </c>
      <c r="H16" s="47">
        <f t="shared" si="5"/>
        <v>9915.5</v>
      </c>
      <c r="I16" s="56" t="s">
        <v>125</v>
      </c>
      <c r="J16" s="57" t="s">
        <v>126</v>
      </c>
      <c r="K16" s="56">
        <v>9915.5</v>
      </c>
      <c r="L16" s="56" t="s">
        <v>127</v>
      </c>
      <c r="M16" s="57" t="s">
        <v>128</v>
      </c>
      <c r="N16" s="57" t="s">
        <v>129</v>
      </c>
      <c r="O16" s="58" t="s">
        <v>130</v>
      </c>
      <c r="P16" s="59" t="s">
        <v>131</v>
      </c>
    </row>
    <row r="17" spans="1:16" ht="12.75" customHeight="1" thickBot="1">
      <c r="A17" s="47" t="str">
        <f t="shared" si="0"/>
        <v>OEJV 0074 </v>
      </c>
      <c r="B17" s="5" t="str">
        <f t="shared" si="1"/>
        <v>I</v>
      </c>
      <c r="C17" s="47">
        <f t="shared" si="2"/>
        <v>51704.41597</v>
      </c>
      <c r="D17" s="13" t="str">
        <f t="shared" si="3"/>
        <v>vis</v>
      </c>
      <c r="E17" s="55">
        <f>VLOOKUP(C17,A!C$21:E$972,3,FALSE)</f>
        <v>9917.997951308686</v>
      </c>
      <c r="F17" s="5" t="s">
        <v>69</v>
      </c>
      <c r="G17" s="13" t="str">
        <f t="shared" si="4"/>
        <v>51704.41597</v>
      </c>
      <c r="H17" s="47">
        <f t="shared" si="5"/>
        <v>9918</v>
      </c>
      <c r="I17" s="56" t="s">
        <v>132</v>
      </c>
      <c r="J17" s="57" t="s">
        <v>133</v>
      </c>
      <c r="K17" s="56">
        <v>9918</v>
      </c>
      <c r="L17" s="56" t="s">
        <v>134</v>
      </c>
      <c r="M17" s="57" t="s">
        <v>128</v>
      </c>
      <c r="N17" s="57" t="s">
        <v>129</v>
      </c>
      <c r="O17" s="58" t="s">
        <v>130</v>
      </c>
      <c r="P17" s="59" t="s">
        <v>131</v>
      </c>
    </row>
    <row r="18" spans="1:16" ht="12.75" customHeight="1" thickBot="1">
      <c r="A18" s="47" t="str">
        <f t="shared" si="0"/>
        <v>IBVS 5287 </v>
      </c>
      <c r="B18" s="5" t="str">
        <f t="shared" si="1"/>
        <v>I</v>
      </c>
      <c r="C18" s="47">
        <f t="shared" si="2"/>
        <v>51799.4096</v>
      </c>
      <c r="D18" s="13" t="str">
        <f t="shared" si="3"/>
        <v>vis</v>
      </c>
      <c r="E18" s="55">
        <f>VLOOKUP(C18,A!C$21:E$972,3,FALSE)</f>
        <v>9958.998377871198</v>
      </c>
      <c r="F18" s="5" t="s">
        <v>69</v>
      </c>
      <c r="G18" s="13" t="str">
        <f t="shared" si="4"/>
        <v>51799.4096</v>
      </c>
      <c r="H18" s="47">
        <f t="shared" si="5"/>
        <v>9959</v>
      </c>
      <c r="I18" s="56" t="s">
        <v>135</v>
      </c>
      <c r="J18" s="57" t="s">
        <v>136</v>
      </c>
      <c r="K18" s="56">
        <v>9959</v>
      </c>
      <c r="L18" s="56" t="s">
        <v>137</v>
      </c>
      <c r="M18" s="57" t="s">
        <v>109</v>
      </c>
      <c r="N18" s="57" t="s">
        <v>110</v>
      </c>
      <c r="O18" s="58" t="s">
        <v>123</v>
      </c>
      <c r="P18" s="59" t="s">
        <v>124</v>
      </c>
    </row>
    <row r="19" spans="1:16" ht="12.75" customHeight="1" thickBot="1">
      <c r="A19" s="47" t="str">
        <f t="shared" si="0"/>
        <v>OEJV 0074 </v>
      </c>
      <c r="B19" s="5" t="str">
        <f t="shared" si="1"/>
        <v>II</v>
      </c>
      <c r="C19" s="47">
        <f t="shared" si="2"/>
        <v>52085.54454</v>
      </c>
      <c r="D19" s="13" t="str">
        <f t="shared" si="3"/>
        <v>vis</v>
      </c>
      <c r="E19" s="55">
        <f>VLOOKUP(C19,A!C$21:E$972,3,FALSE)</f>
        <v>10082.497759823855</v>
      </c>
      <c r="F19" s="5" t="s">
        <v>69</v>
      </c>
      <c r="G19" s="13" t="str">
        <f t="shared" si="4"/>
        <v>52085.54454</v>
      </c>
      <c r="H19" s="47">
        <f t="shared" si="5"/>
        <v>10082.5</v>
      </c>
      <c r="I19" s="56" t="s">
        <v>138</v>
      </c>
      <c r="J19" s="57" t="s">
        <v>139</v>
      </c>
      <c r="K19" s="56">
        <v>10082.5</v>
      </c>
      <c r="L19" s="56" t="s">
        <v>140</v>
      </c>
      <c r="M19" s="57" t="s">
        <v>128</v>
      </c>
      <c r="N19" s="57" t="s">
        <v>129</v>
      </c>
      <c r="O19" s="58" t="s">
        <v>130</v>
      </c>
      <c r="P19" s="59" t="s">
        <v>131</v>
      </c>
    </row>
    <row r="20" spans="1:16" ht="12.75" customHeight="1" thickBot="1">
      <c r="A20" s="47" t="str">
        <f t="shared" si="0"/>
        <v>OEJV 0074 </v>
      </c>
      <c r="B20" s="5" t="str">
        <f t="shared" si="1"/>
        <v>I</v>
      </c>
      <c r="C20" s="47">
        <f t="shared" si="2"/>
        <v>52121.4532</v>
      </c>
      <c r="D20" s="13" t="str">
        <f t="shared" si="3"/>
        <v>vis</v>
      </c>
      <c r="E20" s="55">
        <f>VLOOKUP(C20,A!C$21:E$972,3,FALSE)</f>
        <v>10097.996381966079</v>
      </c>
      <c r="F20" s="5" t="s">
        <v>69</v>
      </c>
      <c r="G20" s="13" t="str">
        <f t="shared" si="4"/>
        <v>52121.45320</v>
      </c>
      <c r="H20" s="47">
        <f t="shared" si="5"/>
        <v>10098</v>
      </c>
      <c r="I20" s="56" t="s">
        <v>141</v>
      </c>
      <c r="J20" s="57" t="s">
        <v>142</v>
      </c>
      <c r="K20" s="56">
        <v>10098</v>
      </c>
      <c r="L20" s="56" t="s">
        <v>143</v>
      </c>
      <c r="M20" s="57" t="s">
        <v>128</v>
      </c>
      <c r="N20" s="57" t="s">
        <v>129</v>
      </c>
      <c r="O20" s="58" t="s">
        <v>144</v>
      </c>
      <c r="P20" s="59" t="s">
        <v>131</v>
      </c>
    </row>
    <row r="21" spans="1:16" ht="12.75" customHeight="1" thickBot="1">
      <c r="A21" s="47" t="str">
        <f t="shared" si="0"/>
        <v>OEJV 0074 </v>
      </c>
      <c r="B21" s="5" t="str">
        <f t="shared" si="1"/>
        <v>II</v>
      </c>
      <c r="C21" s="47">
        <f t="shared" si="2"/>
        <v>52428.44491</v>
      </c>
      <c r="D21" s="13" t="str">
        <f t="shared" si="3"/>
        <v>vis</v>
      </c>
      <c r="E21" s="55">
        <f>VLOOKUP(C21,A!C$21:E$972,3,FALSE)</f>
        <v>10230.49780402096</v>
      </c>
      <c r="F21" s="5" t="s">
        <v>69</v>
      </c>
      <c r="G21" s="13" t="str">
        <f t="shared" si="4"/>
        <v>52428.44491</v>
      </c>
      <c r="H21" s="47">
        <f t="shared" si="5"/>
        <v>10230.5</v>
      </c>
      <c r="I21" s="56" t="s">
        <v>145</v>
      </c>
      <c r="J21" s="57" t="s">
        <v>146</v>
      </c>
      <c r="K21" s="56">
        <v>10230.5</v>
      </c>
      <c r="L21" s="56" t="s">
        <v>147</v>
      </c>
      <c r="M21" s="57" t="s">
        <v>128</v>
      </c>
      <c r="N21" s="57" t="s">
        <v>129</v>
      </c>
      <c r="O21" s="58" t="s">
        <v>130</v>
      </c>
      <c r="P21" s="59" t="s">
        <v>131</v>
      </c>
    </row>
    <row r="22" spans="1:16" ht="12.75" customHeight="1" thickBot="1">
      <c r="A22" s="47" t="str">
        <f t="shared" si="0"/>
        <v>BAVM 158 </v>
      </c>
      <c r="B22" s="5" t="str">
        <f t="shared" si="1"/>
        <v>II</v>
      </c>
      <c r="C22" s="47">
        <f t="shared" si="2"/>
        <v>52428.4463</v>
      </c>
      <c r="D22" s="13" t="str">
        <f t="shared" si="3"/>
        <v>vis</v>
      </c>
      <c r="E22" s="55">
        <f>VLOOKUP(C22,A!C$21:E$972,3,FALSE)</f>
        <v>10230.498403962169</v>
      </c>
      <c r="F22" s="5" t="s">
        <v>69</v>
      </c>
      <c r="G22" s="13" t="str">
        <f t="shared" si="4"/>
        <v>52428.4463</v>
      </c>
      <c r="H22" s="47">
        <f t="shared" si="5"/>
        <v>10230.5</v>
      </c>
      <c r="I22" s="56" t="s">
        <v>148</v>
      </c>
      <c r="J22" s="57" t="s">
        <v>149</v>
      </c>
      <c r="K22" s="56">
        <v>10230.5</v>
      </c>
      <c r="L22" s="56" t="s">
        <v>150</v>
      </c>
      <c r="M22" s="57" t="s">
        <v>109</v>
      </c>
      <c r="N22" s="57" t="s">
        <v>129</v>
      </c>
      <c r="O22" s="58" t="s">
        <v>151</v>
      </c>
      <c r="P22" s="59" t="s">
        <v>152</v>
      </c>
    </row>
    <row r="23" spans="1:16" ht="12.75" customHeight="1" thickBot="1">
      <c r="A23" s="47" t="str">
        <f t="shared" si="0"/>
        <v>BAVM 172 </v>
      </c>
      <c r="B23" s="5" t="str">
        <f t="shared" si="1"/>
        <v>II</v>
      </c>
      <c r="C23" s="47">
        <f t="shared" si="2"/>
        <v>52794.5151</v>
      </c>
      <c r="D23" s="13" t="str">
        <f t="shared" si="3"/>
        <v>vis</v>
      </c>
      <c r="E23" s="55">
        <f>VLOOKUP(C23,A!C$21:E$972,3,FALSE)</f>
        <v>10388.498229331797</v>
      </c>
      <c r="F23" s="5" t="s">
        <v>69</v>
      </c>
      <c r="G23" s="13" t="str">
        <f t="shared" si="4"/>
        <v>52794.5151</v>
      </c>
      <c r="H23" s="47">
        <f t="shared" si="5"/>
        <v>10388.5</v>
      </c>
      <c r="I23" s="56" t="s">
        <v>153</v>
      </c>
      <c r="J23" s="57" t="s">
        <v>154</v>
      </c>
      <c r="K23" s="56">
        <v>10388.5</v>
      </c>
      <c r="L23" s="56" t="s">
        <v>155</v>
      </c>
      <c r="M23" s="57" t="s">
        <v>109</v>
      </c>
      <c r="N23" s="57" t="s">
        <v>129</v>
      </c>
      <c r="O23" s="58" t="s">
        <v>156</v>
      </c>
      <c r="P23" s="59" t="s">
        <v>157</v>
      </c>
    </row>
    <row r="24" spans="1:16" ht="12.75" customHeight="1" thickBot="1">
      <c r="A24" s="47" t="str">
        <f t="shared" si="0"/>
        <v>OEJV 0074 </v>
      </c>
      <c r="B24" s="5" t="str">
        <f t="shared" si="1"/>
        <v>I</v>
      </c>
      <c r="C24" s="47">
        <f t="shared" si="2"/>
        <v>52874.44355</v>
      </c>
      <c r="D24" s="13" t="str">
        <f t="shared" si="3"/>
        <v>vis</v>
      </c>
      <c r="E24" s="55">
        <f>VLOOKUP(C24,A!C$21:E$972,3,FALSE)</f>
        <v>10422.99633772581</v>
      </c>
      <c r="F24" s="5" t="s">
        <v>69</v>
      </c>
      <c r="G24" s="13" t="str">
        <f t="shared" si="4"/>
        <v>52874.44355</v>
      </c>
      <c r="H24" s="47">
        <f t="shared" si="5"/>
        <v>10423</v>
      </c>
      <c r="I24" s="56" t="s">
        <v>158</v>
      </c>
      <c r="J24" s="57" t="s">
        <v>159</v>
      </c>
      <c r="K24" s="56">
        <v>10423</v>
      </c>
      <c r="L24" s="56" t="s">
        <v>160</v>
      </c>
      <c r="M24" s="57" t="s">
        <v>128</v>
      </c>
      <c r="N24" s="57" t="s">
        <v>69</v>
      </c>
      <c r="O24" s="58" t="s">
        <v>161</v>
      </c>
      <c r="P24" s="59" t="s">
        <v>131</v>
      </c>
    </row>
    <row r="25" spans="1:16" ht="12.75" customHeight="1" thickBot="1">
      <c r="A25" s="47" t="str">
        <f t="shared" si="0"/>
        <v>BAVM 178 </v>
      </c>
      <c r="B25" s="5" t="str">
        <f t="shared" si="1"/>
        <v>I</v>
      </c>
      <c r="C25" s="47">
        <f t="shared" si="2"/>
        <v>53655.235</v>
      </c>
      <c r="D25" s="13" t="str">
        <f t="shared" si="3"/>
        <v>vis</v>
      </c>
      <c r="E25" s="55">
        <f>VLOOKUP(C25,A!C$21:E$972,3,FALSE)</f>
        <v>10759.995592374393</v>
      </c>
      <c r="F25" s="5" t="s">
        <v>69</v>
      </c>
      <c r="G25" s="13" t="str">
        <f t="shared" si="4"/>
        <v>53655.2350</v>
      </c>
      <c r="H25" s="47">
        <f t="shared" si="5"/>
        <v>10760</v>
      </c>
      <c r="I25" s="56" t="s">
        <v>162</v>
      </c>
      <c r="J25" s="57" t="s">
        <v>163</v>
      </c>
      <c r="K25" s="56">
        <v>10760</v>
      </c>
      <c r="L25" s="56" t="s">
        <v>164</v>
      </c>
      <c r="M25" s="57" t="s">
        <v>128</v>
      </c>
      <c r="N25" s="57" t="s">
        <v>165</v>
      </c>
      <c r="O25" s="58" t="s">
        <v>151</v>
      </c>
      <c r="P25" s="59" t="s">
        <v>166</v>
      </c>
    </row>
    <row r="26" spans="1:16" ht="12.75" customHeight="1" thickBot="1">
      <c r="A26" s="47" t="str">
        <f t="shared" si="0"/>
        <v>BAVM 186 </v>
      </c>
      <c r="B26" s="5" t="str">
        <f t="shared" si="1"/>
        <v>I</v>
      </c>
      <c r="C26" s="47">
        <f t="shared" si="2"/>
        <v>53993.5051</v>
      </c>
      <c r="D26" s="13" t="str">
        <f t="shared" si="3"/>
        <v>vis</v>
      </c>
      <c r="E26" s="55">
        <f>VLOOKUP(C26,A!C$21:E$972,3,FALSE)</f>
        <v>10905.99715472488</v>
      </c>
      <c r="F26" s="5" t="s">
        <v>69</v>
      </c>
      <c r="G26" s="13" t="str">
        <f t="shared" si="4"/>
        <v>53993.5051</v>
      </c>
      <c r="H26" s="47">
        <f t="shared" si="5"/>
        <v>10906</v>
      </c>
      <c r="I26" s="56" t="s">
        <v>167</v>
      </c>
      <c r="J26" s="57" t="s">
        <v>168</v>
      </c>
      <c r="K26" s="56" t="s">
        <v>169</v>
      </c>
      <c r="L26" s="56" t="s">
        <v>170</v>
      </c>
      <c r="M26" s="57" t="s">
        <v>128</v>
      </c>
      <c r="N26" s="57" t="s">
        <v>165</v>
      </c>
      <c r="O26" s="58" t="s">
        <v>171</v>
      </c>
      <c r="P26" s="59" t="s">
        <v>172</v>
      </c>
    </row>
    <row r="27" spans="1:16" ht="12.75" customHeight="1" thickBot="1">
      <c r="A27" s="47" t="str">
        <f t="shared" si="0"/>
        <v>BAVM 214 </v>
      </c>
      <c r="B27" s="5" t="str">
        <f t="shared" si="1"/>
        <v>I</v>
      </c>
      <c r="C27" s="47">
        <f t="shared" si="2"/>
        <v>55075.4922</v>
      </c>
      <c r="D27" s="13" t="str">
        <f t="shared" si="3"/>
        <v>vis</v>
      </c>
      <c r="E27" s="55">
        <f>VLOOKUP(C27,A!C$21:E$972,3,FALSE)</f>
        <v>11372.99618018729</v>
      </c>
      <c r="F27" s="5" t="s">
        <v>69</v>
      </c>
      <c r="G27" s="13" t="str">
        <f t="shared" si="4"/>
        <v>55075.4922</v>
      </c>
      <c r="H27" s="47">
        <f t="shared" si="5"/>
        <v>11373</v>
      </c>
      <c r="I27" s="56" t="s">
        <v>173</v>
      </c>
      <c r="J27" s="57" t="s">
        <v>174</v>
      </c>
      <c r="K27" s="56" t="s">
        <v>175</v>
      </c>
      <c r="L27" s="56" t="s">
        <v>176</v>
      </c>
      <c r="M27" s="57" t="s">
        <v>128</v>
      </c>
      <c r="N27" s="57" t="s">
        <v>177</v>
      </c>
      <c r="O27" s="58" t="s">
        <v>171</v>
      </c>
      <c r="P27" s="59" t="s">
        <v>178</v>
      </c>
    </row>
    <row r="28" spans="1:16" ht="12.75" customHeight="1" thickBot="1">
      <c r="A28" s="47" t="str">
        <f t="shared" si="0"/>
        <v>IBVS 5945 </v>
      </c>
      <c r="B28" s="5" t="str">
        <f t="shared" si="1"/>
        <v>I</v>
      </c>
      <c r="C28" s="47">
        <f t="shared" si="2"/>
        <v>55362.7891</v>
      </c>
      <c r="D28" s="13" t="str">
        <f t="shared" si="3"/>
        <v>vis</v>
      </c>
      <c r="E28" s="55">
        <f>VLOOKUP(C28,A!C$21:E$972,3,FALSE)</f>
        <v>11496.997078458973</v>
      </c>
      <c r="F28" s="5" t="s">
        <v>69</v>
      </c>
      <c r="G28" s="13" t="str">
        <f t="shared" si="4"/>
        <v>55362.7891</v>
      </c>
      <c r="H28" s="47">
        <f t="shared" si="5"/>
        <v>11497</v>
      </c>
      <c r="I28" s="56" t="s">
        <v>191</v>
      </c>
      <c r="J28" s="57" t="s">
        <v>192</v>
      </c>
      <c r="K28" s="56" t="s">
        <v>193</v>
      </c>
      <c r="L28" s="56" t="s">
        <v>194</v>
      </c>
      <c r="M28" s="57" t="s">
        <v>128</v>
      </c>
      <c r="N28" s="57" t="s">
        <v>69</v>
      </c>
      <c r="O28" s="58" t="s">
        <v>195</v>
      </c>
      <c r="P28" s="59" t="s">
        <v>196</v>
      </c>
    </row>
    <row r="29" spans="1:16" ht="12.75" customHeight="1" thickBot="1">
      <c r="A29" s="47" t="str">
        <f t="shared" si="0"/>
        <v>BAVM 220 </v>
      </c>
      <c r="B29" s="5" t="str">
        <f t="shared" si="1"/>
        <v>II</v>
      </c>
      <c r="C29" s="47">
        <f t="shared" si="2"/>
        <v>55711.4824</v>
      </c>
      <c r="D29" s="13" t="str">
        <f t="shared" si="3"/>
        <v>vis</v>
      </c>
      <c r="E29" s="55">
        <f>VLOOKUP(C29,A!C$21:E$972,3,FALSE)</f>
        <v>11647.497422950391</v>
      </c>
      <c r="F29" s="5" t="s">
        <v>69</v>
      </c>
      <c r="G29" s="13" t="str">
        <f t="shared" si="4"/>
        <v>55711.4824</v>
      </c>
      <c r="H29" s="47">
        <f t="shared" si="5"/>
        <v>11647.5</v>
      </c>
      <c r="I29" s="56" t="s">
        <v>197</v>
      </c>
      <c r="J29" s="57" t="s">
        <v>198</v>
      </c>
      <c r="K29" s="56" t="s">
        <v>199</v>
      </c>
      <c r="L29" s="56" t="s">
        <v>200</v>
      </c>
      <c r="M29" s="57" t="s">
        <v>128</v>
      </c>
      <c r="N29" s="57">
        <v>0</v>
      </c>
      <c r="O29" s="58" t="s">
        <v>151</v>
      </c>
      <c r="P29" s="59" t="s">
        <v>201</v>
      </c>
    </row>
    <row r="30" spans="1:16" ht="12.75" customHeight="1" thickBot="1">
      <c r="A30" s="47" t="str">
        <f t="shared" si="0"/>
        <v>BAVM 220 </v>
      </c>
      <c r="B30" s="5" t="str">
        <f t="shared" si="1"/>
        <v>I</v>
      </c>
      <c r="C30" s="47">
        <f t="shared" si="2"/>
        <v>55740.4414</v>
      </c>
      <c r="D30" s="13" t="str">
        <f t="shared" si="3"/>
        <v>vis</v>
      </c>
      <c r="E30" s="55">
        <f>VLOOKUP(C30,A!C$21:E$972,3,FALSE)</f>
        <v>11659.996485812017</v>
      </c>
      <c r="F30" s="5" t="s">
        <v>69</v>
      </c>
      <c r="G30" s="13" t="str">
        <f t="shared" si="4"/>
        <v>55740.4414</v>
      </c>
      <c r="H30" s="47">
        <f t="shared" si="5"/>
        <v>11660</v>
      </c>
      <c r="I30" s="56" t="s">
        <v>202</v>
      </c>
      <c r="J30" s="57" t="s">
        <v>203</v>
      </c>
      <c r="K30" s="56">
        <v>11660</v>
      </c>
      <c r="L30" s="56" t="s">
        <v>204</v>
      </c>
      <c r="M30" s="57" t="s">
        <v>128</v>
      </c>
      <c r="N30" s="57">
        <v>0</v>
      </c>
      <c r="O30" s="58" t="s">
        <v>151</v>
      </c>
      <c r="P30" s="59" t="s">
        <v>201</v>
      </c>
    </row>
    <row r="31" spans="1:16" ht="12.75" customHeight="1" thickBot="1">
      <c r="A31" s="47" t="str">
        <f t="shared" si="0"/>
        <v>OEJV 0160 </v>
      </c>
      <c r="B31" s="5" t="str">
        <f t="shared" si="1"/>
        <v>I</v>
      </c>
      <c r="C31" s="47">
        <f t="shared" si="2"/>
        <v>55798.36187</v>
      </c>
      <c r="D31" s="13" t="str">
        <f t="shared" si="3"/>
        <v>vis</v>
      </c>
      <c r="E31" s="55">
        <f>VLOOKUP(C31,A!C$21:E$972,3,FALSE)</f>
        <v>11684.995677617837</v>
      </c>
      <c r="F31" s="5" t="s">
        <v>69</v>
      </c>
      <c r="G31" s="13" t="str">
        <f t="shared" si="4"/>
        <v>55798.36187</v>
      </c>
      <c r="H31" s="47">
        <f t="shared" si="5"/>
        <v>11685</v>
      </c>
      <c r="I31" s="56" t="s">
        <v>205</v>
      </c>
      <c r="J31" s="57" t="s">
        <v>206</v>
      </c>
      <c r="K31" s="56">
        <v>11685</v>
      </c>
      <c r="L31" s="56" t="s">
        <v>207</v>
      </c>
      <c r="M31" s="57" t="s">
        <v>128</v>
      </c>
      <c r="N31" s="57" t="s">
        <v>35</v>
      </c>
      <c r="O31" s="58" t="s">
        <v>189</v>
      </c>
      <c r="P31" s="59" t="s">
        <v>208</v>
      </c>
    </row>
    <row r="32" spans="1:16" ht="12.75" customHeight="1" thickBot="1">
      <c r="A32" s="47" t="str">
        <f t="shared" si="0"/>
        <v>OEJV 0160 </v>
      </c>
      <c r="B32" s="5" t="str">
        <f t="shared" si="1"/>
        <v>I</v>
      </c>
      <c r="C32" s="47">
        <f t="shared" si="2"/>
        <v>55798.36247</v>
      </c>
      <c r="D32" s="13" t="str">
        <f t="shared" si="3"/>
        <v>vis</v>
      </c>
      <c r="E32" s="55">
        <f>VLOOKUP(C32,A!C$21:E$972,3,FALSE)</f>
        <v>11684.995936585265</v>
      </c>
      <c r="F32" s="5" t="s">
        <v>69</v>
      </c>
      <c r="G32" s="13" t="str">
        <f t="shared" si="4"/>
        <v>55798.36247</v>
      </c>
      <c r="H32" s="47">
        <f t="shared" si="5"/>
        <v>11685</v>
      </c>
      <c r="I32" s="56" t="s">
        <v>209</v>
      </c>
      <c r="J32" s="57" t="s">
        <v>206</v>
      </c>
      <c r="K32" s="56">
        <v>11685</v>
      </c>
      <c r="L32" s="56" t="s">
        <v>210</v>
      </c>
      <c r="M32" s="57" t="s">
        <v>128</v>
      </c>
      <c r="N32" s="57" t="s">
        <v>69</v>
      </c>
      <c r="O32" s="58" t="s">
        <v>189</v>
      </c>
      <c r="P32" s="59" t="s">
        <v>208</v>
      </c>
    </row>
    <row r="33" spans="1:16" ht="12.75" customHeight="1" thickBot="1">
      <c r="A33" s="47" t="str">
        <f t="shared" si="0"/>
        <v>BAVM 231 </v>
      </c>
      <c r="B33" s="5" t="str">
        <f t="shared" si="1"/>
        <v>I</v>
      </c>
      <c r="C33" s="47">
        <f t="shared" si="2"/>
        <v>56229.305</v>
      </c>
      <c r="D33" s="13" t="str">
        <f t="shared" si="3"/>
        <v>vis</v>
      </c>
      <c r="E33" s="55">
        <f>VLOOKUP(C33,A!C$21:E$972,3,FALSE)</f>
        <v>11870.99606684588</v>
      </c>
      <c r="F33" s="5" t="s">
        <v>69</v>
      </c>
      <c r="G33" s="13" t="str">
        <f t="shared" si="4"/>
        <v>56229.3050</v>
      </c>
      <c r="H33" s="47">
        <f t="shared" si="5"/>
        <v>11871</v>
      </c>
      <c r="I33" s="56" t="s">
        <v>215</v>
      </c>
      <c r="J33" s="57" t="s">
        <v>216</v>
      </c>
      <c r="K33" s="56">
        <v>11871</v>
      </c>
      <c r="L33" s="56" t="s">
        <v>217</v>
      </c>
      <c r="M33" s="57" t="s">
        <v>128</v>
      </c>
      <c r="N33" s="57" t="s">
        <v>218</v>
      </c>
      <c r="O33" s="58" t="s">
        <v>219</v>
      </c>
      <c r="P33" s="59" t="s">
        <v>220</v>
      </c>
    </row>
    <row r="34" spans="1:16" ht="12.75" customHeight="1" thickBot="1">
      <c r="A34" s="47" t="str">
        <f t="shared" si="0"/>
        <v>OEJV 0160 </v>
      </c>
      <c r="B34" s="5" t="str">
        <f t="shared" si="1"/>
        <v>II</v>
      </c>
      <c r="C34" s="47">
        <f t="shared" si="2"/>
        <v>56464.47105</v>
      </c>
      <c r="D34" s="13" t="str">
        <f t="shared" si="3"/>
        <v>vis</v>
      </c>
      <c r="E34" s="55">
        <f>VLOOKUP(C34,A!C$21:E$972,3,FALSE)</f>
        <v>11972.49664496908</v>
      </c>
      <c r="F34" s="5" t="s">
        <v>69</v>
      </c>
      <c r="G34" s="13" t="str">
        <f t="shared" si="4"/>
        <v>56464.47105</v>
      </c>
      <c r="H34" s="47">
        <f t="shared" si="5"/>
        <v>11972.5</v>
      </c>
      <c r="I34" s="56" t="s">
        <v>221</v>
      </c>
      <c r="J34" s="57" t="s">
        <v>222</v>
      </c>
      <c r="K34" s="56">
        <v>11972.5</v>
      </c>
      <c r="L34" s="56" t="s">
        <v>223</v>
      </c>
      <c r="M34" s="57" t="s">
        <v>128</v>
      </c>
      <c r="N34" s="57" t="s">
        <v>218</v>
      </c>
      <c r="O34" s="58" t="s">
        <v>189</v>
      </c>
      <c r="P34" s="59" t="s">
        <v>208</v>
      </c>
    </row>
    <row r="35" spans="1:16" ht="12.75" customHeight="1" thickBot="1">
      <c r="A35" s="47" t="str">
        <f t="shared" si="0"/>
        <v>OEJV 0160 </v>
      </c>
      <c r="B35" s="5" t="str">
        <f t="shared" si="1"/>
        <v>II</v>
      </c>
      <c r="C35" s="47">
        <f t="shared" si="2"/>
        <v>56464.47339</v>
      </c>
      <c r="D35" s="13" t="str">
        <f t="shared" si="3"/>
        <v>vis</v>
      </c>
      <c r="E35" s="55">
        <f>VLOOKUP(C35,A!C$21:E$972,3,FALSE)</f>
        <v>11972.497654942044</v>
      </c>
      <c r="F35" s="5" t="s">
        <v>69</v>
      </c>
      <c r="G35" s="13" t="str">
        <f t="shared" si="4"/>
        <v>56464.47339</v>
      </c>
      <c r="H35" s="47">
        <f t="shared" si="5"/>
        <v>11972.5</v>
      </c>
      <c r="I35" s="56" t="s">
        <v>224</v>
      </c>
      <c r="J35" s="57" t="s">
        <v>225</v>
      </c>
      <c r="K35" s="56">
        <v>11972.5</v>
      </c>
      <c r="L35" s="56" t="s">
        <v>226</v>
      </c>
      <c r="M35" s="57" t="s">
        <v>128</v>
      </c>
      <c r="N35" s="57" t="s">
        <v>69</v>
      </c>
      <c r="O35" s="58" t="s">
        <v>189</v>
      </c>
      <c r="P35" s="59" t="s">
        <v>208</v>
      </c>
    </row>
    <row r="36" spans="1:16" ht="12.75" customHeight="1" thickBot="1">
      <c r="A36" s="47" t="str">
        <f t="shared" si="0"/>
        <v> AC 26.4 </v>
      </c>
      <c r="B36" s="5" t="str">
        <f t="shared" si="1"/>
        <v>I</v>
      </c>
      <c r="C36" s="47">
        <f t="shared" si="2"/>
        <v>29485.4</v>
      </c>
      <c r="D36" s="13" t="str">
        <f t="shared" si="3"/>
        <v>vis</v>
      </c>
      <c r="E36" s="55">
        <f>VLOOKUP(C36,A!C$21:E$972,3,FALSE)</f>
        <v>327.99562621280404</v>
      </c>
      <c r="F36" s="5" t="s">
        <v>69</v>
      </c>
      <c r="G36" s="13" t="str">
        <f t="shared" si="4"/>
        <v>29485.40</v>
      </c>
      <c r="H36" s="47">
        <f t="shared" si="5"/>
        <v>328</v>
      </c>
      <c r="I36" s="56" t="s">
        <v>77</v>
      </c>
      <c r="J36" s="57" t="s">
        <v>78</v>
      </c>
      <c r="K36" s="56">
        <v>328</v>
      </c>
      <c r="L36" s="56" t="s">
        <v>79</v>
      </c>
      <c r="M36" s="57" t="s">
        <v>71</v>
      </c>
      <c r="N36" s="57"/>
      <c r="O36" s="58" t="s">
        <v>80</v>
      </c>
      <c r="P36" s="58" t="s">
        <v>81</v>
      </c>
    </row>
    <row r="37" spans="1:16" ht="12.75" customHeight="1" thickBot="1">
      <c r="A37" s="47" t="str">
        <f t="shared" si="0"/>
        <v> MSAI 40.392 </v>
      </c>
      <c r="B37" s="5" t="str">
        <f t="shared" si="1"/>
        <v>I</v>
      </c>
      <c r="C37" s="47">
        <f t="shared" si="2"/>
        <v>33894.44</v>
      </c>
      <c r="D37" s="13" t="str">
        <f t="shared" si="3"/>
        <v>vis</v>
      </c>
      <c r="E37" s="55">
        <f>VLOOKUP(C37,A!C$21:E$972,3,FALSE)</f>
        <v>2230.9918663942162</v>
      </c>
      <c r="F37" s="5" t="s">
        <v>69</v>
      </c>
      <c r="G37" s="13" t="str">
        <f t="shared" si="4"/>
        <v>33894.440</v>
      </c>
      <c r="H37" s="47">
        <f t="shared" si="5"/>
        <v>2231</v>
      </c>
      <c r="I37" s="56" t="s">
        <v>82</v>
      </c>
      <c r="J37" s="57" t="s">
        <v>83</v>
      </c>
      <c r="K37" s="56">
        <v>2231</v>
      </c>
      <c r="L37" s="56" t="s">
        <v>84</v>
      </c>
      <c r="M37" s="57" t="s">
        <v>85</v>
      </c>
      <c r="N37" s="57"/>
      <c r="O37" s="58" t="s">
        <v>86</v>
      </c>
      <c r="P37" s="58" t="s">
        <v>87</v>
      </c>
    </row>
    <row r="38" spans="1:16" ht="12.75" customHeight="1" thickBot="1">
      <c r="A38" s="47" t="str">
        <f t="shared" si="0"/>
        <v> MSAI 40.392 </v>
      </c>
      <c r="B38" s="5" t="str">
        <f t="shared" si="1"/>
        <v>I</v>
      </c>
      <c r="C38" s="47">
        <f t="shared" si="2"/>
        <v>34603.446</v>
      </c>
      <c r="D38" s="13" t="str">
        <f t="shared" si="3"/>
        <v>vis</v>
      </c>
      <c r="E38" s="55">
        <f>VLOOKUP(C38,A!C$21:E$972,3,FALSE)</f>
        <v>2537.0076322448467</v>
      </c>
      <c r="F38" s="5" t="s">
        <v>69</v>
      </c>
      <c r="G38" s="13" t="str">
        <f t="shared" si="4"/>
        <v>34603.446</v>
      </c>
      <c r="H38" s="47">
        <f t="shared" si="5"/>
        <v>2537</v>
      </c>
      <c r="I38" s="56" t="s">
        <v>88</v>
      </c>
      <c r="J38" s="57" t="s">
        <v>89</v>
      </c>
      <c r="K38" s="56">
        <v>2537</v>
      </c>
      <c r="L38" s="56" t="s">
        <v>90</v>
      </c>
      <c r="M38" s="57" t="s">
        <v>85</v>
      </c>
      <c r="N38" s="57"/>
      <c r="O38" s="58" t="s">
        <v>86</v>
      </c>
      <c r="P38" s="58" t="s">
        <v>87</v>
      </c>
    </row>
    <row r="39" spans="1:16" ht="12.75" customHeight="1" thickBot="1">
      <c r="A39" s="47" t="str">
        <f t="shared" si="0"/>
        <v> MSAI 40.392 </v>
      </c>
      <c r="B39" s="5" t="str">
        <f t="shared" si="1"/>
        <v>I</v>
      </c>
      <c r="C39" s="47">
        <f t="shared" si="2"/>
        <v>37520.435</v>
      </c>
      <c r="D39" s="13" t="str">
        <f t="shared" si="3"/>
        <v>vis</v>
      </c>
      <c r="E39" s="55">
        <f>VLOOKUP(C39,A!C$21:E$972,3,FALSE)</f>
        <v>3796.0161918520457</v>
      </c>
      <c r="F39" s="5" t="s">
        <v>69</v>
      </c>
      <c r="G39" s="13" t="str">
        <f t="shared" si="4"/>
        <v>37520.435</v>
      </c>
      <c r="H39" s="47">
        <f t="shared" si="5"/>
        <v>3796</v>
      </c>
      <c r="I39" s="56" t="s">
        <v>91</v>
      </c>
      <c r="J39" s="57" t="s">
        <v>92</v>
      </c>
      <c r="K39" s="56">
        <v>3796</v>
      </c>
      <c r="L39" s="56" t="s">
        <v>93</v>
      </c>
      <c r="M39" s="57" t="s">
        <v>85</v>
      </c>
      <c r="N39" s="57"/>
      <c r="O39" s="58" t="s">
        <v>86</v>
      </c>
      <c r="P39" s="58" t="s">
        <v>87</v>
      </c>
    </row>
    <row r="40" spans="1:16" ht="12.75" customHeight="1" thickBot="1">
      <c r="A40" s="47" t="str">
        <f t="shared" si="0"/>
        <v> MSAI 40.392 </v>
      </c>
      <c r="B40" s="5" t="str">
        <f t="shared" si="1"/>
        <v>I</v>
      </c>
      <c r="C40" s="47">
        <f t="shared" si="2"/>
        <v>37550.46</v>
      </c>
      <c r="D40" s="13" t="str">
        <f t="shared" si="3"/>
        <v>vis</v>
      </c>
      <c r="E40" s="55">
        <f>VLOOKUP(C40,A!C$21:E$972,3,FALSE)</f>
        <v>3808.9753535088803</v>
      </c>
      <c r="F40" s="5" t="s">
        <v>69</v>
      </c>
      <c r="G40" s="13" t="str">
        <f t="shared" si="4"/>
        <v>37550.460</v>
      </c>
      <c r="H40" s="47">
        <f t="shared" si="5"/>
        <v>3809</v>
      </c>
      <c r="I40" s="56" t="s">
        <v>94</v>
      </c>
      <c r="J40" s="57" t="s">
        <v>95</v>
      </c>
      <c r="K40" s="56">
        <v>3809</v>
      </c>
      <c r="L40" s="56" t="s">
        <v>96</v>
      </c>
      <c r="M40" s="57" t="s">
        <v>85</v>
      </c>
      <c r="N40" s="57"/>
      <c r="O40" s="58" t="s">
        <v>86</v>
      </c>
      <c r="P40" s="58" t="s">
        <v>87</v>
      </c>
    </row>
    <row r="41" spans="1:16" ht="12.75" customHeight="1" thickBot="1">
      <c r="A41" s="47" t="str">
        <f t="shared" si="0"/>
        <v> MSAI 40.392 </v>
      </c>
      <c r="B41" s="5" t="str">
        <f t="shared" si="1"/>
        <v>I</v>
      </c>
      <c r="C41" s="47">
        <f t="shared" si="2"/>
        <v>37578.356</v>
      </c>
      <c r="D41" s="13" t="str">
        <f t="shared" si="3"/>
        <v>vis</v>
      </c>
      <c r="E41" s="55">
        <f>VLOOKUP(C41,A!C$21:E$972,3,FALSE)</f>
        <v>3821.015612412429</v>
      </c>
      <c r="F41" s="5" t="s">
        <v>69</v>
      </c>
      <c r="G41" s="13" t="str">
        <f t="shared" si="4"/>
        <v>37578.356</v>
      </c>
      <c r="H41" s="47">
        <f t="shared" si="5"/>
        <v>3821</v>
      </c>
      <c r="I41" s="56" t="s">
        <v>97</v>
      </c>
      <c r="J41" s="57" t="s">
        <v>98</v>
      </c>
      <c r="K41" s="56">
        <v>3821</v>
      </c>
      <c r="L41" s="56" t="s">
        <v>99</v>
      </c>
      <c r="M41" s="57" t="s">
        <v>85</v>
      </c>
      <c r="N41" s="57"/>
      <c r="O41" s="58" t="s">
        <v>86</v>
      </c>
      <c r="P41" s="58" t="s">
        <v>87</v>
      </c>
    </row>
    <row r="42" spans="1:16" ht="12.75" customHeight="1" thickBot="1">
      <c r="A42" s="47" t="str">
        <f t="shared" si="0"/>
        <v> BBS 115 </v>
      </c>
      <c r="B42" s="5" t="str">
        <f t="shared" si="1"/>
        <v>I</v>
      </c>
      <c r="C42" s="47">
        <f t="shared" si="2"/>
        <v>50659.4962</v>
      </c>
      <c r="D42" s="13" t="str">
        <f t="shared" si="3"/>
        <v>vis</v>
      </c>
      <c r="E42" s="55">
        <f>VLOOKUP(C42,A!C$21:E$972,3,FALSE)</f>
        <v>9466.9976443028</v>
      </c>
      <c r="F42" s="5" t="s">
        <v>69</v>
      </c>
      <c r="G42" s="13" t="str">
        <f t="shared" si="4"/>
        <v>50659.4962</v>
      </c>
      <c r="H42" s="47">
        <f t="shared" si="5"/>
        <v>9467</v>
      </c>
      <c r="I42" s="56" t="s">
        <v>106</v>
      </c>
      <c r="J42" s="57" t="s">
        <v>107</v>
      </c>
      <c r="K42" s="56">
        <v>9467</v>
      </c>
      <c r="L42" s="56" t="s">
        <v>108</v>
      </c>
      <c r="M42" s="57" t="s">
        <v>109</v>
      </c>
      <c r="N42" s="57" t="s">
        <v>110</v>
      </c>
      <c r="O42" s="58" t="s">
        <v>111</v>
      </c>
      <c r="P42" s="58" t="s">
        <v>112</v>
      </c>
    </row>
    <row r="43" spans="1:16" ht="12.75" customHeight="1" thickBot="1">
      <c r="A43" s="47" t="str">
        <f t="shared" si="0"/>
        <v>BAVM 212 </v>
      </c>
      <c r="B43" s="5" t="str">
        <f t="shared" si="1"/>
        <v>I</v>
      </c>
      <c r="C43" s="47">
        <f t="shared" si="2"/>
        <v>55082.4439</v>
      </c>
      <c r="D43" s="13" t="str">
        <f t="shared" si="3"/>
        <v>vis</v>
      </c>
      <c r="E43" s="55">
        <f>VLOOKUP(C43,A!C$21:E$972,3,FALSE)</f>
        <v>11375.996619957143</v>
      </c>
      <c r="F43" s="5" t="s">
        <v>69</v>
      </c>
      <c r="G43" s="13" t="str">
        <f t="shared" si="4"/>
        <v>55082.4439</v>
      </c>
      <c r="H43" s="47">
        <f t="shared" si="5"/>
        <v>11376</v>
      </c>
      <c r="I43" s="56" t="s">
        <v>179</v>
      </c>
      <c r="J43" s="57" t="s">
        <v>180</v>
      </c>
      <c r="K43" s="56" t="s">
        <v>181</v>
      </c>
      <c r="L43" s="56" t="s">
        <v>182</v>
      </c>
      <c r="M43" s="57" t="s">
        <v>128</v>
      </c>
      <c r="N43" s="57" t="s">
        <v>129</v>
      </c>
      <c r="O43" s="58" t="s">
        <v>183</v>
      </c>
      <c r="P43" s="59" t="s">
        <v>184</v>
      </c>
    </row>
    <row r="44" spans="1:16" ht="12.75" customHeight="1" thickBot="1">
      <c r="A44" s="47" t="str">
        <f t="shared" si="0"/>
        <v>OEJV 0137 </v>
      </c>
      <c r="B44" s="5" t="str">
        <f t="shared" si="1"/>
        <v>II</v>
      </c>
      <c r="C44" s="47">
        <f t="shared" si="2"/>
        <v>55352.3625</v>
      </c>
      <c r="D44" s="13" t="str">
        <f t="shared" si="3"/>
        <v>vis</v>
      </c>
      <c r="E44" s="55" t="e">
        <f>VLOOKUP(C44,A!C$21:E$972,3,FALSE)</f>
        <v>#N/A</v>
      </c>
      <c r="F44" s="5" t="s">
        <v>69</v>
      </c>
      <c r="G44" s="13" t="str">
        <f t="shared" si="4"/>
        <v>55352.3625</v>
      </c>
      <c r="H44" s="47">
        <f t="shared" si="5"/>
        <v>11492.5</v>
      </c>
      <c r="I44" s="56" t="s">
        <v>185</v>
      </c>
      <c r="J44" s="57" t="s">
        <v>186</v>
      </c>
      <c r="K44" s="56" t="s">
        <v>187</v>
      </c>
      <c r="L44" s="56" t="s">
        <v>188</v>
      </c>
      <c r="M44" s="57" t="s">
        <v>128</v>
      </c>
      <c r="N44" s="57" t="s">
        <v>35</v>
      </c>
      <c r="O44" s="58" t="s">
        <v>189</v>
      </c>
      <c r="P44" s="59" t="s">
        <v>190</v>
      </c>
    </row>
    <row r="45" spans="1:16" ht="12.75" customHeight="1" thickBot="1">
      <c r="A45" s="47" t="str">
        <f t="shared" si="0"/>
        <v>BAVM 225 </v>
      </c>
      <c r="B45" s="5" t="str">
        <f t="shared" si="1"/>
        <v>II</v>
      </c>
      <c r="C45" s="47">
        <f t="shared" si="2"/>
        <v>55799.521</v>
      </c>
      <c r="D45" s="13" t="str">
        <f t="shared" si="3"/>
        <v>vis</v>
      </c>
      <c r="E45" s="55">
        <f>VLOOKUP(C45,A!C$21:E$972,3,FALSE)</f>
        <v>11685.495972473835</v>
      </c>
      <c r="F45" s="5" t="s">
        <v>69</v>
      </c>
      <c r="G45" s="13" t="str">
        <f t="shared" si="4"/>
        <v>55799.5210</v>
      </c>
      <c r="H45" s="47">
        <f t="shared" si="5"/>
        <v>11685.5</v>
      </c>
      <c r="I45" s="56" t="s">
        <v>211</v>
      </c>
      <c r="J45" s="57" t="s">
        <v>212</v>
      </c>
      <c r="K45" s="56">
        <v>11685.5</v>
      </c>
      <c r="L45" s="56" t="s">
        <v>213</v>
      </c>
      <c r="M45" s="57" t="s">
        <v>128</v>
      </c>
      <c r="N45" s="60" t="s">
        <v>165</v>
      </c>
      <c r="O45" s="58" t="s">
        <v>151</v>
      </c>
      <c r="P45" s="59" t="s">
        <v>214</v>
      </c>
    </row>
    <row r="46" spans="2:6" ht="12.75">
      <c r="B46" s="5"/>
      <c r="E46" s="55"/>
      <c r="F46" s="5"/>
    </row>
    <row r="47" spans="2:6" ht="12.75">
      <c r="B47" s="5"/>
      <c r="E47" s="55"/>
      <c r="F47" s="5"/>
    </row>
    <row r="48" spans="2:6" ht="12.75">
      <c r="B48" s="5"/>
      <c r="E48" s="55"/>
      <c r="F48" s="5"/>
    </row>
    <row r="49" spans="2:6" ht="12.75">
      <c r="B49" s="5"/>
      <c r="E49" s="55"/>
      <c r="F49" s="5"/>
    </row>
    <row r="50" spans="2:6" ht="12.75">
      <c r="B50" s="5"/>
      <c r="E50" s="55"/>
      <c r="F50" s="5"/>
    </row>
    <row r="51" spans="2:6" ht="12.75">
      <c r="B51" s="5"/>
      <c r="E51" s="55"/>
      <c r="F51" s="5"/>
    </row>
    <row r="52" spans="2:6" ht="12.75">
      <c r="B52" s="5"/>
      <c r="E52" s="55"/>
      <c r="F52" s="5"/>
    </row>
    <row r="53" spans="2:6" ht="12.75">
      <c r="B53" s="5"/>
      <c r="E53" s="55"/>
      <c r="F53" s="5"/>
    </row>
    <row r="54" spans="2:6" ht="12.75">
      <c r="B54" s="5"/>
      <c r="E54" s="55"/>
      <c r="F54" s="5"/>
    </row>
    <row r="55" spans="2:6" ht="12.75">
      <c r="B55" s="5"/>
      <c r="E55" s="55"/>
      <c r="F55" s="5"/>
    </row>
    <row r="56" spans="2:6" ht="12.75">
      <c r="B56" s="5"/>
      <c r="E56" s="55"/>
      <c r="F56" s="5"/>
    </row>
    <row r="57" spans="2:6" ht="12.75">
      <c r="B57" s="5"/>
      <c r="E57" s="55"/>
      <c r="F57" s="5"/>
    </row>
    <row r="58" spans="2:6" ht="12.75">
      <c r="B58" s="5"/>
      <c r="E58" s="55"/>
      <c r="F58" s="5"/>
    </row>
    <row r="59" spans="2:6" ht="12.75">
      <c r="B59" s="5"/>
      <c r="E59" s="55"/>
      <c r="F59" s="5"/>
    </row>
    <row r="60" spans="2:6" ht="12.75">
      <c r="B60" s="5"/>
      <c r="E60" s="55"/>
      <c r="F60" s="5"/>
    </row>
    <row r="61" spans="2:6" ht="12.75">
      <c r="B61" s="5"/>
      <c r="E61" s="55"/>
      <c r="F61" s="5"/>
    </row>
    <row r="62" spans="2:6" ht="12.75">
      <c r="B62" s="5"/>
      <c r="E62" s="55"/>
      <c r="F62" s="5"/>
    </row>
    <row r="63" spans="2:6" ht="12.75">
      <c r="B63" s="5"/>
      <c r="E63" s="55"/>
      <c r="F63" s="5"/>
    </row>
    <row r="64" spans="2:6" ht="12.75">
      <c r="B64" s="5"/>
      <c r="E64" s="55"/>
      <c r="F64" s="5"/>
    </row>
    <row r="65" spans="2:6" ht="12.75">
      <c r="B65" s="5"/>
      <c r="E65" s="55"/>
      <c r="F65" s="5"/>
    </row>
    <row r="66" spans="2:6" ht="12.75">
      <c r="B66" s="5"/>
      <c r="E66" s="55"/>
      <c r="F66" s="5"/>
    </row>
    <row r="67" spans="2:6" ht="12.75">
      <c r="B67" s="5"/>
      <c r="E67" s="55"/>
      <c r="F67" s="5"/>
    </row>
    <row r="68" spans="2:6" ht="12.75">
      <c r="B68" s="5"/>
      <c r="E68" s="55"/>
      <c r="F68" s="5"/>
    </row>
    <row r="69" spans="2:6" ht="12.75">
      <c r="B69" s="5"/>
      <c r="E69" s="55"/>
      <c r="F69" s="5"/>
    </row>
    <row r="70" spans="2:6" ht="12.75">
      <c r="B70" s="5"/>
      <c r="E70" s="55"/>
      <c r="F70" s="5"/>
    </row>
    <row r="71" spans="2:6" ht="12.75">
      <c r="B71" s="5"/>
      <c r="E71" s="55"/>
      <c r="F71" s="5"/>
    </row>
    <row r="72" spans="2:6" ht="12.75">
      <c r="B72" s="5"/>
      <c r="E72" s="55"/>
      <c r="F72" s="5"/>
    </row>
    <row r="73" spans="2:6" ht="12.75">
      <c r="B73" s="5"/>
      <c r="E73" s="55"/>
      <c r="F73" s="5"/>
    </row>
    <row r="74" spans="2:6" ht="12.75">
      <c r="B74" s="5"/>
      <c r="E74" s="5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</sheetData>
  <sheetProtection/>
  <hyperlinks>
    <hyperlink ref="P13" r:id="rId1" display="http://www.konkoly.hu/cgi-bin/IBVS?5263"/>
    <hyperlink ref="P14" r:id="rId2" display="http://www.konkoly.hu/cgi-bin/IBVS?5263"/>
    <hyperlink ref="P15" r:id="rId3" display="http://www.konkoly.hu/cgi-bin/IBVS?5287"/>
    <hyperlink ref="P16" r:id="rId4" display="http://var.astro.cz/oejv/issues/oejv0074.pdf"/>
    <hyperlink ref="P17" r:id="rId5" display="http://var.astro.cz/oejv/issues/oejv0074.pdf"/>
    <hyperlink ref="P18" r:id="rId6" display="http://www.konkoly.hu/cgi-bin/IBVS?5287"/>
    <hyperlink ref="P19" r:id="rId7" display="http://var.astro.cz/oejv/issues/oejv0074.pdf"/>
    <hyperlink ref="P20" r:id="rId8" display="http://var.astro.cz/oejv/issues/oejv0074.pdf"/>
    <hyperlink ref="P21" r:id="rId9" display="http://var.astro.cz/oejv/issues/oejv0074.pdf"/>
    <hyperlink ref="P22" r:id="rId10" display="http://www.bav-astro.de/sfs/BAVM_link.php?BAVMnr=158"/>
    <hyperlink ref="P23" r:id="rId11" display="http://www.bav-astro.de/sfs/BAVM_link.php?BAVMnr=172"/>
    <hyperlink ref="P24" r:id="rId12" display="http://var.astro.cz/oejv/issues/oejv0074.pdf"/>
    <hyperlink ref="P25" r:id="rId13" display="http://www.bav-astro.de/sfs/BAVM_link.php?BAVMnr=178"/>
    <hyperlink ref="P26" r:id="rId14" display="http://www.bav-astro.de/sfs/BAVM_link.php?BAVMnr=186"/>
    <hyperlink ref="P27" r:id="rId15" display="http://www.bav-astro.de/sfs/BAVM_link.php?BAVMnr=214"/>
    <hyperlink ref="P43" r:id="rId16" display="http://www.bav-astro.de/sfs/BAVM_link.php?BAVMnr=212"/>
    <hyperlink ref="P44" r:id="rId17" display="http://var.astro.cz/oejv/issues/oejv0137.pdf"/>
    <hyperlink ref="P28" r:id="rId18" display="http://www.konkoly.hu/cgi-bin/IBVS?5945"/>
    <hyperlink ref="P29" r:id="rId19" display="http://www.bav-astro.de/sfs/BAVM_link.php?BAVMnr=220"/>
    <hyperlink ref="P30" r:id="rId20" display="http://www.bav-astro.de/sfs/BAVM_link.php?BAVMnr=220"/>
    <hyperlink ref="P31" r:id="rId21" display="http://var.astro.cz/oejv/issues/oejv0160.pdf"/>
    <hyperlink ref="P32" r:id="rId22" display="http://var.astro.cz/oejv/issues/oejv0160.pdf"/>
    <hyperlink ref="P45" r:id="rId23" display="http://www.bav-astro.de/sfs/BAVM_link.php?BAVMnr=225"/>
    <hyperlink ref="P33" r:id="rId24" display="http://www.bav-astro.de/sfs/BAVM_link.php?BAVMnr=231"/>
    <hyperlink ref="P34" r:id="rId25" display="http://var.astro.cz/oejv/issues/oejv0160.pdf"/>
    <hyperlink ref="P35" r:id="rId26" display="http://var.astro.cz/oejv/issues/oejv01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