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2760" windowWidth="8400" windowHeight="140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<sst xmlns="http://schemas.openxmlformats.org/spreadsheetml/2006/main" count="124" uniqueCount="56">
  <si>
    <t>IBVS 6244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</si>
  <si>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</si>
  <si>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</si>
  <si>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</si>
  <si>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</si>
  <si>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</si>
  <si>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</si>
  <si>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</si>
  <si>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</si>
  <si>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</si>
  <si>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</si>
  <si>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</si>
  <si>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</si>
  <si>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</si>
  <si>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</si>
  <si>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</si>
  <si>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</si>
  <si>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</si>
  <si>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</si>
  <si>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</si>
  <si>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</si>
  <si>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</si>
  <si>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</si>
  <si>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</si>
  <si>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</si>
  <si>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</si>
  <si>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</si>
  <si>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S5</t>
  </si>
  <si>
    <t>na</t>
  </si>
  <si>
    <t># of data points =</t>
  </si>
  <si>
    <t>Start of Lin fit (row)</t>
  </si>
  <si>
    <t>Start cell (x)</t>
  </si>
  <si>
    <t>Start cell (y)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</si>
  <si>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</si>
  <si>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</si>
  <si>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</si>
  <si>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</si>
  <si>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</si>
  <si>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</si>
  <si>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</si>
  <si>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</si>
  <si>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V483 Cyg / GSC 2670-0004</t>
  </si>
  <si>
    <t>EB/DM</t>
  </si>
  <si>
    <t> AHSB 6.2.176 </t>
  </si>
  <si>
    <t>I</t>
  </si>
  <si>
    <t>vis</t>
  </si>
  <si>
    <t>II</t>
  </si>
  <si>
    <t> HABZ 28 </t>
  </si>
  <si>
    <t>IBVS 5296</t>
  </si>
  <si>
    <t>BAVM 203 </t>
  </si>
  <si>
    <t>BAVM 212 </t>
  </si>
  <si>
    <t>IBVS 5959</t>
  </si>
  <si>
    <t>IBVS 6118</t>
  </si>
  <si>
    <t>pg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</si>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</sst>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0" fillId="0" borderId="0" xfId="61" applyFont="1" applyAlignment="1">
      <alignment horizontal="left"/>
      <protection/>
    </xf>
    <xf numFmtId="0" fontId="30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V483 Cyg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16411928"/>
        <c:axId val="13489625"/>
      </c:scatterChart>
      <c:valAx>
        <c:axId val="16411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9625"/>
        <c:crosses val="autoZero"/>
        <c:crossBetween val="midCat"/>
        <c:dispUnits/>
      </c:valAx>
      <c:valAx>
        <c:axId val="13489625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192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V483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0.0019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0.003</c:v>
                  </c:pt>
                  <c:pt idx="26">
                    <c:v>0.0378</c:v>
                  </c:pt>
                  <c:pt idx="27">
                    <c:v>0.0061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0.0019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0.003</c:v>
                  </c:pt>
                  <c:pt idx="26">
                    <c:v>0.0378</c:v>
                  </c:pt>
                  <c:pt idx="27">
                    <c:v>0.0061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54297762"/>
        <c:axId val="18917811"/>
      </c:scatterChart>
      <c:valAx>
        <c:axId val="5429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7811"/>
        <c:crosses val="autoZero"/>
        <c:crossBetween val="midCat"/>
        <c:dispUnits/>
      </c:valAx>
      <c:valAx>
        <c:axId val="18917811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776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825"/>
          <c:y val="0.93125"/>
          <c:w val="0.352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V483 Cyg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36042572"/>
        <c:axId val="55947693"/>
      </c:scatterChart>
      <c:valAx>
        <c:axId val="36042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47693"/>
        <c:crosses val="autoZero"/>
        <c:crossBetween val="midCat"/>
        <c:dispUnits/>
      </c:valAx>
      <c:valAx>
        <c:axId val="55947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257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62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219575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257175</xdr:colOff>
      <xdr:row>0</xdr:row>
      <xdr:rowOff>0</xdr:rowOff>
    </xdr:from>
    <xdr:to>
      <xdr:col>29</xdr:col>
      <xdr:colOff>676275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50645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82015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pane xSplit="14" ySplit="21" topLeftCell="O28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F6" sqref="F6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5742187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2" ht="12.75">
      <c r="A2" t="s">
        <v>18</v>
      </c>
      <c r="B2" s="14" t="s">
        <v>42</v>
      </c>
    </row>
    <row r="3" ht="13.5" thickBot="1"/>
    <row r="4" spans="1:4" ht="14.25" thickBot="1" thickTop="1">
      <c r="A4" s="6" t="s">
        <v>1</v>
      </c>
      <c r="C4" s="3">
        <v>28098.406</v>
      </c>
      <c r="D4" s="4">
        <v>2.6042757</v>
      </c>
    </row>
    <row r="5" spans="1:4" ht="13.5" thickTop="1">
      <c r="A5" s="20" t="s">
        <v>33</v>
      </c>
      <c r="B5" s="14"/>
      <c r="C5" s="21">
        <v>-9.5</v>
      </c>
      <c r="D5" s="14" t="s">
        <v>34</v>
      </c>
    </row>
    <row r="6" ht="12.75">
      <c r="A6" s="6" t="s">
        <v>2</v>
      </c>
    </row>
    <row r="7" spans="1:3" ht="12.75">
      <c r="A7" t="s">
        <v>3</v>
      </c>
      <c r="C7">
        <f>+C4</f>
        <v>28098.406</v>
      </c>
    </row>
    <row r="8" spans="1:3" ht="12.75">
      <c r="A8" t="s">
        <v>4</v>
      </c>
      <c r="C8">
        <f>+D4</f>
        <v>2.6042757</v>
      </c>
    </row>
    <row r="9" spans="1:4" ht="12.75">
      <c r="A9" s="12" t="s">
        <v>30</v>
      </c>
      <c r="B9" s="12"/>
      <c r="C9" s="13">
        <v>21</v>
      </c>
      <c r="D9" s="13">
        <v>21</v>
      </c>
    </row>
    <row r="10" spans="1:4" ht="13.5" thickBot="1">
      <c r="A10" s="14"/>
      <c r="B10" s="14"/>
      <c r="C10" s="5" t="s">
        <v>20</v>
      </c>
      <c r="D10" s="5" t="s">
        <v>21</v>
      </c>
    </row>
    <row r="11" spans="1:6" ht="12.75">
      <c r="A11" s="14" t="s">
        <v>15</v>
      </c>
      <c r="B11" s="14"/>
      <c r="C11" s="15">
        <f ca="1">INTERCEPT(INDIRECT(C14):R$935,INDIRECT(C13):$F$935)</f>
        <v>-0.005903308591866501</v>
      </c>
      <c r="D11" s="15">
        <f ca="1">INTERCEPT(INDIRECT(D14):S$935,INDIRECT(D13):$F$935)</f>
        <v>-0.3465048122642126</v>
      </c>
      <c r="E11" s="12" t="s">
        <v>36</v>
      </c>
      <c r="F11">
        <v>1</v>
      </c>
    </row>
    <row r="12" spans="1:6" ht="12.75">
      <c r="A12" s="14" t="s">
        <v>16</v>
      </c>
      <c r="B12" s="14"/>
      <c r="C12" s="15">
        <f ca="1">SLOPE(INDIRECT(C14):R$935,INDIRECT(C13):$F$935)</f>
        <v>1.4800624858486004E-06</v>
      </c>
      <c r="D12" s="15">
        <f ca="1">SLOPE(INDIRECT(D14):S$935,INDIRECT(D13):$F$935)</f>
        <v>-3.596172632860999E-05</v>
      </c>
      <c r="E12" s="12" t="s">
        <v>37</v>
      </c>
      <c r="F12" s="22">
        <f ca="1">NOW()+15018.5+$C$5/24</f>
        <v>59896.7767150463</v>
      </c>
    </row>
    <row r="13" spans="1:6" ht="12.75">
      <c r="A13" s="12" t="s">
        <v>31</v>
      </c>
      <c r="B13" s="12"/>
      <c r="C13" s="13" t="str">
        <f>"F"&amp;C9</f>
        <v>F21</v>
      </c>
      <c r="D13" s="13" t="str">
        <f>"F"&amp;D9</f>
        <v>F21</v>
      </c>
      <c r="E13" s="12" t="s">
        <v>38</v>
      </c>
      <c r="F13" s="22">
        <f>ROUND(2*(F12-$C$7)/$C$8,0)/2+F11</f>
        <v>12211</v>
      </c>
    </row>
    <row r="14" spans="1:6" ht="12.75">
      <c r="A14" s="12" t="s">
        <v>32</v>
      </c>
      <c r="B14" s="12"/>
      <c r="C14" s="13" t="str">
        <f>"R"&amp;C9</f>
        <v>R21</v>
      </c>
      <c r="D14" s="13" t="str">
        <f>"S"&amp;D9</f>
        <v>S21</v>
      </c>
      <c r="E14" s="12" t="s">
        <v>39</v>
      </c>
      <c r="F14" s="23">
        <f>ROUND(2*(F12-$C$15)/$C$16,0)/2+F11</f>
        <v>736</v>
      </c>
    </row>
    <row r="15" spans="1:6" ht="12.75">
      <c r="A15" s="16" t="s">
        <v>17</v>
      </c>
      <c r="B15" s="14"/>
      <c r="C15" s="17">
        <f>($C7+C11)+($C8+C12)*INT(MAX($F21:$F3533))</f>
        <v>57982.48073790844</v>
      </c>
      <c r="D15" s="17">
        <f>($C7+D11)+($C8+D12)*INT(MAX($F21:$F3533))</f>
        <v>57981.71049187811</v>
      </c>
      <c r="E15" s="12" t="s">
        <v>40</v>
      </c>
      <c r="F15" s="24">
        <f>+$C$15+$C$16*F14-15018.5-$C$5/24</f>
        <v>44881.12457576776</v>
      </c>
    </row>
    <row r="16" spans="1:6" ht="12.75">
      <c r="A16" s="18" t="s">
        <v>5</v>
      </c>
      <c r="B16" s="14"/>
      <c r="C16" s="19">
        <f>+$C8+C12</f>
        <v>2.604277180062486</v>
      </c>
      <c r="D16" s="15">
        <f>+$C8+D12</f>
        <v>2.6042397382736713</v>
      </c>
      <c r="E16" s="25"/>
      <c r="F16" s="25" t="s">
        <v>35</v>
      </c>
    </row>
    <row r="17" spans="1:3" ht="13.5" thickBot="1">
      <c r="A17" s="11" t="s">
        <v>29</v>
      </c>
      <c r="C17">
        <f>COUNT(C21:C1247)</f>
        <v>28</v>
      </c>
    </row>
    <row r="18" spans="1:5" ht="14.25" thickBot="1" thickTop="1">
      <c r="A18" s="6" t="s">
        <v>23</v>
      </c>
      <c r="C18" s="3">
        <f>+C15</f>
        <v>57982.48073790844</v>
      </c>
      <c r="D18" s="4">
        <f>+C16</f>
        <v>2.604277180062486</v>
      </c>
      <c r="E18" s="26">
        <f>R19</f>
        <v>26</v>
      </c>
    </row>
    <row r="19" spans="1:19" ht="14.25" thickBot="1" thickTop="1">
      <c r="A19" s="6" t="s">
        <v>24</v>
      </c>
      <c r="C19" s="3">
        <f>+D15</f>
        <v>57981.71049187811</v>
      </c>
      <c r="D19" s="4">
        <f>+D16</f>
        <v>2.6042397382736713</v>
      </c>
      <c r="E19" s="26">
        <f>S19</f>
        <v>2</v>
      </c>
      <c r="R19">
        <f>COUNT(R21:R322)</f>
        <v>26</v>
      </c>
      <c r="S19">
        <f>COUNT(S21:S322)</f>
        <v>2</v>
      </c>
    </row>
    <row r="20" spans="1:19" ht="14.25" thickBot="1" thickTop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53</v>
      </c>
      <c r="I20" s="8" t="s">
        <v>45</v>
      </c>
      <c r="J20" s="8" t="s">
        <v>54</v>
      </c>
      <c r="K20" s="8" t="s">
        <v>55</v>
      </c>
      <c r="L20" s="8" t="s">
        <v>27</v>
      </c>
      <c r="M20" s="8" t="s">
        <v>19</v>
      </c>
      <c r="N20" s="8" t="s">
        <v>22</v>
      </c>
      <c r="O20" s="8" t="s">
        <v>25</v>
      </c>
      <c r="P20" s="7" t="s">
        <v>26</v>
      </c>
      <c r="Q20" s="5" t="s">
        <v>14</v>
      </c>
      <c r="R20" s="9" t="s">
        <v>20</v>
      </c>
      <c r="S20" s="9" t="s">
        <v>21</v>
      </c>
    </row>
    <row r="21" spans="1:18" ht="12.75">
      <c r="A21" s="27" t="s">
        <v>43</v>
      </c>
      <c r="B21" s="28" t="s">
        <v>44</v>
      </c>
      <c r="C21" s="27">
        <v>28072.322</v>
      </c>
      <c r="D21" s="27" t="s">
        <v>45</v>
      </c>
      <c r="E21">
        <f aca="true" t="shared" si="0" ref="E21:E47">+(C21-C$7)/C$8</f>
        <v>-10.0158366489381</v>
      </c>
      <c r="F21">
        <f aca="true" t="shared" si="1" ref="F21:F48">ROUND(2*E21,0)/2</f>
        <v>-10</v>
      </c>
      <c r="G21">
        <f aca="true" t="shared" si="2" ref="G21:G47">+C21-(C$7+F21*C$8)</f>
        <v>-0.04124299999966752</v>
      </c>
      <c r="I21">
        <f aca="true" t="shared" si="3" ref="I21:I42">+G21</f>
        <v>-0.04124299999966752</v>
      </c>
      <c r="O21">
        <f>+C$11+C$12*$F21</f>
        <v>-0.0059181092167249864</v>
      </c>
      <c r="P21">
        <f>+D$11+D$12*$F21</f>
        <v>-0.3461451950009265</v>
      </c>
      <c r="Q21" s="2">
        <f>+C21-15018.5</f>
        <v>13053.822</v>
      </c>
      <c r="R21">
        <f>G21</f>
        <v>-0.04124299999966752</v>
      </c>
    </row>
    <row r="22" spans="1:19" ht="12.75">
      <c r="A22" t="s">
        <v>12</v>
      </c>
      <c r="C22" s="29">
        <f>+C5</f>
        <v>-9.5</v>
      </c>
      <c r="D22" s="29" t="s">
        <v>28</v>
      </c>
      <c r="E22">
        <f t="shared" si="0"/>
        <v>-10792.984014710884</v>
      </c>
      <c r="F22">
        <f t="shared" si="1"/>
        <v>-10793</v>
      </c>
      <c r="G22">
        <f t="shared" si="2"/>
        <v>0.04163010000047507</v>
      </c>
      <c r="H22">
        <f>+U22</f>
        <v>0</v>
      </c>
      <c r="I22">
        <f t="shared" si="3"/>
        <v>0.04163010000047507</v>
      </c>
      <c r="O22">
        <f aca="true" t="shared" si="4" ref="O22:O47">+C$11+C$12*$F22</f>
        <v>-0.021877623001630445</v>
      </c>
      <c r="P22">
        <f aca="true" t="shared" si="5" ref="P22:P47">+D$11+D$12*$F22</f>
        <v>0.04163010000047507</v>
      </c>
      <c r="Q22" s="2">
        <f aca="true" t="shared" si="6" ref="Q22:Q47">+C22-15018.5</f>
        <v>-15028</v>
      </c>
      <c r="S22">
        <f>G22</f>
        <v>0.04163010000047507</v>
      </c>
    </row>
    <row r="23" spans="1:18" ht="12.75">
      <c r="A23" s="27" t="s">
        <v>43</v>
      </c>
      <c r="B23" s="28" t="s">
        <v>44</v>
      </c>
      <c r="C23" s="27">
        <v>28098.46</v>
      </c>
      <c r="D23" s="27" t="s">
        <v>45</v>
      </c>
      <c r="E23">
        <f t="shared" si="0"/>
        <v>0.020735131844945336</v>
      </c>
      <c r="F23">
        <f t="shared" si="1"/>
        <v>0</v>
      </c>
      <c r="G23">
        <f t="shared" si="2"/>
        <v>0.05400000000008731</v>
      </c>
      <c r="I23">
        <f t="shared" si="3"/>
        <v>0.05400000000008731</v>
      </c>
      <c r="O23">
        <f t="shared" si="4"/>
        <v>-0.005903308591866501</v>
      </c>
      <c r="P23">
        <f t="shared" si="5"/>
        <v>-0.3465048122642126</v>
      </c>
      <c r="Q23" s="2">
        <f t="shared" si="6"/>
        <v>13079.96</v>
      </c>
      <c r="R23">
        <f aca="true" t="shared" si="7" ref="R23:R47">G23</f>
        <v>0.05400000000008731</v>
      </c>
    </row>
    <row r="24" spans="1:18" ht="12.75">
      <c r="A24" s="27" t="s">
        <v>43</v>
      </c>
      <c r="B24" s="28" t="s">
        <v>44</v>
      </c>
      <c r="C24" s="27">
        <v>28421.331</v>
      </c>
      <c r="D24" s="27" t="s">
        <v>45</v>
      </c>
      <c r="E24">
        <f t="shared" si="0"/>
        <v>123.99800835218763</v>
      </c>
      <c r="F24">
        <f t="shared" si="1"/>
        <v>124</v>
      </c>
      <c r="G24">
        <f t="shared" si="2"/>
        <v>-0.005186800000956282</v>
      </c>
      <c r="I24">
        <f t="shared" si="3"/>
        <v>-0.005186800000956282</v>
      </c>
      <c r="O24">
        <f t="shared" si="4"/>
        <v>-0.005719780843621274</v>
      </c>
      <c r="P24">
        <f t="shared" si="5"/>
        <v>-0.3509640663289602</v>
      </c>
      <c r="Q24" s="2">
        <f t="shared" si="6"/>
        <v>13402.830999999998</v>
      </c>
      <c r="R24">
        <f t="shared" si="7"/>
        <v>-0.005186800000956282</v>
      </c>
    </row>
    <row r="25" spans="1:18" ht="12.75">
      <c r="A25" s="27" t="s">
        <v>43</v>
      </c>
      <c r="B25" s="28" t="s">
        <v>44</v>
      </c>
      <c r="C25" s="27">
        <v>28775.438</v>
      </c>
      <c r="D25" s="27" t="s">
        <v>45</v>
      </c>
      <c r="E25">
        <f t="shared" si="0"/>
        <v>259.9694033930429</v>
      </c>
      <c r="F25">
        <f t="shared" si="1"/>
        <v>260</v>
      </c>
      <c r="G25">
        <f t="shared" si="2"/>
        <v>-0.07968199999959324</v>
      </c>
      <c r="I25">
        <f t="shared" si="3"/>
        <v>-0.07968199999959324</v>
      </c>
      <c r="O25">
        <f t="shared" si="4"/>
        <v>-0.005518492345545864</v>
      </c>
      <c r="P25">
        <f t="shared" si="5"/>
        <v>-0.3558548611096512</v>
      </c>
      <c r="Q25" s="2">
        <f t="shared" si="6"/>
        <v>13756.937999999998</v>
      </c>
      <c r="R25">
        <f t="shared" si="7"/>
        <v>-0.07968199999959324</v>
      </c>
    </row>
    <row r="26" spans="1:18" ht="12.75">
      <c r="A26" s="27" t="s">
        <v>43</v>
      </c>
      <c r="B26" s="28" t="s">
        <v>44</v>
      </c>
      <c r="C26" s="27">
        <v>28783.405</v>
      </c>
      <c r="D26" s="27" t="s">
        <v>45</v>
      </c>
      <c r="E26">
        <f t="shared" si="0"/>
        <v>263.0286033080137</v>
      </c>
      <c r="F26">
        <f t="shared" si="1"/>
        <v>263</v>
      </c>
      <c r="G26">
        <f t="shared" si="2"/>
        <v>0.07449089999863645</v>
      </c>
      <c r="I26">
        <f t="shared" si="3"/>
        <v>0.07449089999863645</v>
      </c>
      <c r="O26">
        <f t="shared" si="4"/>
        <v>-0.005514052158088319</v>
      </c>
      <c r="P26">
        <f t="shared" si="5"/>
        <v>-0.355962746288637</v>
      </c>
      <c r="Q26" s="2">
        <f t="shared" si="6"/>
        <v>13764.904999999999</v>
      </c>
      <c r="R26">
        <f t="shared" si="7"/>
        <v>0.07449089999863645</v>
      </c>
    </row>
    <row r="27" spans="1:18" ht="12.75">
      <c r="A27" s="27" t="s">
        <v>43</v>
      </c>
      <c r="B27" s="28" t="s">
        <v>44</v>
      </c>
      <c r="C27" s="27">
        <v>29192.272</v>
      </c>
      <c r="D27" s="27" t="s">
        <v>45</v>
      </c>
      <c r="E27">
        <f t="shared" si="0"/>
        <v>420.0269579753026</v>
      </c>
      <c r="F27">
        <f t="shared" si="1"/>
        <v>420</v>
      </c>
      <c r="G27">
        <f t="shared" si="2"/>
        <v>0.07020600000032573</v>
      </c>
      <c r="I27">
        <f t="shared" si="3"/>
        <v>0.07020600000032573</v>
      </c>
      <c r="O27">
        <f t="shared" si="4"/>
        <v>-0.005281682347810088</v>
      </c>
      <c r="P27">
        <f t="shared" si="5"/>
        <v>-0.3616087373222288</v>
      </c>
      <c r="Q27" s="2">
        <f t="shared" si="6"/>
        <v>14173.772</v>
      </c>
      <c r="R27">
        <f t="shared" si="7"/>
        <v>0.07020600000032573</v>
      </c>
    </row>
    <row r="28" spans="1:18" ht="12.75">
      <c r="A28" s="27" t="s">
        <v>43</v>
      </c>
      <c r="B28" s="28" t="s">
        <v>44</v>
      </c>
      <c r="C28" s="27">
        <v>29340.588</v>
      </c>
      <c r="D28" s="27" t="s">
        <v>45</v>
      </c>
      <c r="E28">
        <f t="shared" si="0"/>
        <v>476.97791750696774</v>
      </c>
      <c r="F28">
        <f t="shared" si="1"/>
        <v>477</v>
      </c>
      <c r="G28">
        <f t="shared" si="2"/>
        <v>-0.05750890000126674</v>
      </c>
      <c r="I28">
        <f t="shared" si="3"/>
        <v>-0.05750890000126674</v>
      </c>
      <c r="O28">
        <f t="shared" si="4"/>
        <v>-0.005197318786116718</v>
      </c>
      <c r="P28">
        <f t="shared" si="5"/>
        <v>-0.3636585557229596</v>
      </c>
      <c r="Q28" s="2">
        <f t="shared" si="6"/>
        <v>14322.088</v>
      </c>
      <c r="R28">
        <f t="shared" si="7"/>
        <v>-0.05750890000126674</v>
      </c>
    </row>
    <row r="29" spans="1:18" ht="12.75">
      <c r="A29" s="27" t="s">
        <v>43</v>
      </c>
      <c r="B29" s="28" t="s">
        <v>44</v>
      </c>
      <c r="C29" s="27">
        <v>34119.525</v>
      </c>
      <c r="D29" s="27" t="s">
        <v>45</v>
      </c>
      <c r="E29">
        <f t="shared" si="0"/>
        <v>2312.0128947945113</v>
      </c>
      <c r="F29">
        <f t="shared" si="1"/>
        <v>2312</v>
      </c>
      <c r="G29">
        <f t="shared" si="2"/>
        <v>0.03358160000061616</v>
      </c>
      <c r="I29">
        <f t="shared" si="3"/>
        <v>0.03358160000061616</v>
      </c>
      <c r="O29">
        <f t="shared" si="4"/>
        <v>-0.0024814041245845367</v>
      </c>
      <c r="P29">
        <f t="shared" si="5"/>
        <v>-0.4296483235359589</v>
      </c>
      <c r="Q29" s="2">
        <f t="shared" si="6"/>
        <v>19101.025</v>
      </c>
      <c r="R29">
        <f t="shared" si="7"/>
        <v>0.03358160000061616</v>
      </c>
    </row>
    <row r="30" spans="1:18" ht="12.75">
      <c r="A30" s="27" t="s">
        <v>43</v>
      </c>
      <c r="B30" s="28" t="s">
        <v>44</v>
      </c>
      <c r="C30" s="27">
        <v>34132.53</v>
      </c>
      <c r="D30" s="27" t="s">
        <v>45</v>
      </c>
      <c r="E30">
        <f t="shared" si="0"/>
        <v>2317.0066057138265</v>
      </c>
      <c r="F30">
        <f t="shared" si="1"/>
        <v>2317</v>
      </c>
      <c r="G30">
        <f t="shared" si="2"/>
        <v>0.01720309999655001</v>
      </c>
      <c r="I30">
        <f t="shared" si="3"/>
        <v>0.01720309999655001</v>
      </c>
      <c r="O30">
        <f t="shared" si="4"/>
        <v>-0.0024740038121552933</v>
      </c>
      <c r="P30">
        <f t="shared" si="5"/>
        <v>-0.42982813216760196</v>
      </c>
      <c r="Q30" s="2">
        <f t="shared" si="6"/>
        <v>19114.03</v>
      </c>
      <c r="R30">
        <f t="shared" si="7"/>
        <v>0.01720309999655001</v>
      </c>
    </row>
    <row r="31" spans="1:19" ht="12.75">
      <c r="A31" s="27" t="s">
        <v>43</v>
      </c>
      <c r="B31" s="28" t="s">
        <v>46</v>
      </c>
      <c r="C31" s="27">
        <v>34219.325</v>
      </c>
      <c r="D31" s="27" t="s">
        <v>45</v>
      </c>
      <c r="E31">
        <f t="shared" si="0"/>
        <v>2350.334490315291</v>
      </c>
      <c r="F31">
        <f t="shared" si="1"/>
        <v>2350.5</v>
      </c>
      <c r="G31">
        <f t="shared" si="2"/>
        <v>-0.43103284999961033</v>
      </c>
      <c r="I31">
        <f t="shared" si="3"/>
        <v>-0.43103284999961033</v>
      </c>
      <c r="O31">
        <f t="shared" si="4"/>
        <v>-0.0024244217188793653</v>
      </c>
      <c r="P31">
        <f t="shared" si="5"/>
        <v>-0.4310328499996104</v>
      </c>
      <c r="Q31" s="2">
        <f t="shared" si="6"/>
        <v>19200.824999999997</v>
      </c>
      <c r="S31">
        <f>G31</f>
        <v>-0.43103284999961033</v>
      </c>
    </row>
    <row r="32" spans="1:18" ht="12.75">
      <c r="A32" s="27" t="s">
        <v>43</v>
      </c>
      <c r="B32" s="28" t="s">
        <v>44</v>
      </c>
      <c r="C32" s="27">
        <v>34627.34</v>
      </c>
      <c r="D32" s="27" t="s">
        <v>45</v>
      </c>
      <c r="E32">
        <f t="shared" si="0"/>
        <v>2507.005690680137</v>
      </c>
      <c r="F32">
        <f t="shared" si="1"/>
        <v>2507</v>
      </c>
      <c r="G32">
        <f t="shared" si="2"/>
        <v>0.014820099997450598</v>
      </c>
      <c r="I32">
        <f t="shared" si="3"/>
        <v>0.014820099997450598</v>
      </c>
      <c r="O32">
        <f t="shared" si="4"/>
        <v>-0.0021927919398440593</v>
      </c>
      <c r="P32">
        <f t="shared" si="5"/>
        <v>-0.43666086017003786</v>
      </c>
      <c r="Q32" s="2">
        <f t="shared" si="6"/>
        <v>19608.839999999997</v>
      </c>
      <c r="R32">
        <f t="shared" si="7"/>
        <v>0.014820099997450598</v>
      </c>
    </row>
    <row r="33" spans="1:18" ht="12.75">
      <c r="A33" s="27" t="s">
        <v>43</v>
      </c>
      <c r="B33" s="28" t="s">
        <v>44</v>
      </c>
      <c r="C33" s="27">
        <v>34692.405</v>
      </c>
      <c r="D33" s="27" t="s">
        <v>45</v>
      </c>
      <c r="E33">
        <f t="shared" si="0"/>
        <v>2531.989604633641</v>
      </c>
      <c r="F33">
        <f t="shared" si="1"/>
        <v>2532</v>
      </c>
      <c r="G33">
        <f t="shared" si="2"/>
        <v>-0.027072400000179186</v>
      </c>
      <c r="I33">
        <f t="shared" si="3"/>
        <v>-0.027072400000179186</v>
      </c>
      <c r="O33">
        <f t="shared" si="4"/>
        <v>-0.0021557903776978442</v>
      </c>
      <c r="P33">
        <f t="shared" si="5"/>
        <v>-0.4375599033282531</v>
      </c>
      <c r="Q33" s="2">
        <f t="shared" si="6"/>
        <v>19673.905</v>
      </c>
      <c r="R33">
        <f t="shared" si="7"/>
        <v>-0.027072400000179186</v>
      </c>
    </row>
    <row r="34" spans="1:18" ht="12.75">
      <c r="A34" s="27" t="s">
        <v>43</v>
      </c>
      <c r="B34" s="28" t="s">
        <v>44</v>
      </c>
      <c r="C34" s="27">
        <v>34981.5</v>
      </c>
      <c r="D34" s="27" t="s">
        <v>45</v>
      </c>
      <c r="E34">
        <f t="shared" si="0"/>
        <v>2642.9974368689154</v>
      </c>
      <c r="F34">
        <f t="shared" si="1"/>
        <v>2643</v>
      </c>
      <c r="G34">
        <f t="shared" si="2"/>
        <v>-0.006675099997664802</v>
      </c>
      <c r="I34">
        <f t="shared" si="3"/>
        <v>-0.006675099997664802</v>
      </c>
      <c r="O34">
        <f t="shared" si="4"/>
        <v>-0.00199150344176865</v>
      </c>
      <c r="P34">
        <f t="shared" si="5"/>
        <v>-0.4415516549507288</v>
      </c>
      <c r="Q34" s="2">
        <f t="shared" si="6"/>
        <v>19963</v>
      </c>
      <c r="R34">
        <f t="shared" si="7"/>
        <v>-0.006675099997664802</v>
      </c>
    </row>
    <row r="35" spans="1:18" ht="12.75">
      <c r="A35" s="27" t="s">
        <v>43</v>
      </c>
      <c r="B35" s="28" t="s">
        <v>44</v>
      </c>
      <c r="C35" s="27">
        <v>35041.38</v>
      </c>
      <c r="D35" s="27" t="s">
        <v>45</v>
      </c>
      <c r="E35">
        <f t="shared" si="0"/>
        <v>2665.990394181383</v>
      </c>
      <c r="F35">
        <f t="shared" si="1"/>
        <v>2666</v>
      </c>
      <c r="G35">
        <f t="shared" si="2"/>
        <v>-0.025016200001118705</v>
      </c>
      <c r="I35">
        <f t="shared" si="3"/>
        <v>-0.025016200001118705</v>
      </c>
      <c r="O35">
        <f t="shared" si="4"/>
        <v>-0.0019574620045941316</v>
      </c>
      <c r="P35">
        <f t="shared" si="5"/>
        <v>-0.44237877465628683</v>
      </c>
      <c r="Q35" s="2">
        <f t="shared" si="6"/>
        <v>20022.879999999997</v>
      </c>
      <c r="R35">
        <f t="shared" si="7"/>
        <v>-0.025016200001118705</v>
      </c>
    </row>
    <row r="36" spans="1:18" ht="12.75">
      <c r="A36" s="27" t="s">
        <v>43</v>
      </c>
      <c r="B36" s="28" t="s">
        <v>44</v>
      </c>
      <c r="C36" s="27">
        <v>35317.47</v>
      </c>
      <c r="D36" s="27" t="s">
        <v>45</v>
      </c>
      <c r="E36">
        <f t="shared" si="0"/>
        <v>2772.0045154973423</v>
      </c>
      <c r="F36">
        <f t="shared" si="1"/>
        <v>2772</v>
      </c>
      <c r="G36">
        <f t="shared" si="2"/>
        <v>0.011759600005461834</v>
      </c>
      <c r="I36">
        <f t="shared" si="3"/>
        <v>0.011759600005461834</v>
      </c>
      <c r="O36">
        <f t="shared" si="4"/>
        <v>-0.00180057538109418</v>
      </c>
      <c r="P36">
        <f t="shared" si="5"/>
        <v>-0.4461907176471195</v>
      </c>
      <c r="Q36" s="2">
        <f t="shared" si="6"/>
        <v>20298.97</v>
      </c>
      <c r="R36">
        <f t="shared" si="7"/>
        <v>0.011759600005461834</v>
      </c>
    </row>
    <row r="37" spans="1:18" ht="12.75">
      <c r="A37" s="27" t="s">
        <v>43</v>
      </c>
      <c r="B37" s="28" t="s">
        <v>44</v>
      </c>
      <c r="C37" s="27">
        <v>35369.505</v>
      </c>
      <c r="D37" s="27" t="s">
        <v>45</v>
      </c>
      <c r="E37">
        <f t="shared" si="0"/>
        <v>2791.9851189334518</v>
      </c>
      <c r="F37">
        <f t="shared" si="1"/>
        <v>2792</v>
      </c>
      <c r="G37">
        <f t="shared" si="2"/>
        <v>-0.0387544000041089</v>
      </c>
      <c r="I37">
        <f t="shared" si="3"/>
        <v>-0.0387544000041089</v>
      </c>
      <c r="O37">
        <f t="shared" si="4"/>
        <v>-0.0017709741313772084</v>
      </c>
      <c r="P37">
        <f t="shared" si="5"/>
        <v>-0.44690995217369167</v>
      </c>
      <c r="Q37" s="2">
        <f t="shared" si="6"/>
        <v>20351.004999999997</v>
      </c>
      <c r="R37">
        <f t="shared" si="7"/>
        <v>-0.0387544000041089</v>
      </c>
    </row>
    <row r="38" spans="1:18" ht="12.75">
      <c r="A38" s="27" t="s">
        <v>43</v>
      </c>
      <c r="B38" s="28" t="s">
        <v>44</v>
      </c>
      <c r="C38" s="27">
        <v>35398.215</v>
      </c>
      <c r="D38" s="27" t="s">
        <v>45</v>
      </c>
      <c r="E38">
        <f t="shared" si="0"/>
        <v>2803.0092973643295</v>
      </c>
      <c r="F38">
        <f t="shared" si="1"/>
        <v>2803</v>
      </c>
      <c r="G38">
        <f t="shared" si="2"/>
        <v>0.024212899996200576</v>
      </c>
      <c r="I38">
        <f t="shared" si="3"/>
        <v>0.024212899996200576</v>
      </c>
      <c r="O38">
        <f t="shared" si="4"/>
        <v>-0.0017546934440328737</v>
      </c>
      <c r="P38">
        <f t="shared" si="5"/>
        <v>-0.4473055311633064</v>
      </c>
      <c r="Q38" s="2">
        <f t="shared" si="6"/>
        <v>20379.714999999997</v>
      </c>
      <c r="R38">
        <f t="shared" si="7"/>
        <v>0.024212899996200576</v>
      </c>
    </row>
    <row r="39" spans="1:18" ht="12.75">
      <c r="A39" s="27" t="s">
        <v>47</v>
      </c>
      <c r="B39" s="28" t="s">
        <v>44</v>
      </c>
      <c r="C39" s="27">
        <v>36817.474</v>
      </c>
      <c r="D39" s="27" t="s">
        <v>45</v>
      </c>
      <c r="E39">
        <f t="shared" si="0"/>
        <v>3347.9819360139186</v>
      </c>
      <c r="F39">
        <f t="shared" si="1"/>
        <v>3348</v>
      </c>
      <c r="G39">
        <f t="shared" si="2"/>
        <v>-0.047043599995959084</v>
      </c>
      <c r="I39">
        <f t="shared" si="3"/>
        <v>-0.047043599995959084</v>
      </c>
      <c r="O39">
        <f t="shared" si="4"/>
        <v>-0.0009480593892453862</v>
      </c>
      <c r="P39">
        <f t="shared" si="5"/>
        <v>-0.4669046720123988</v>
      </c>
      <c r="Q39" s="2">
        <f t="shared" si="6"/>
        <v>21798.974000000002</v>
      </c>
      <c r="R39">
        <f t="shared" si="7"/>
        <v>-0.047043599995959084</v>
      </c>
    </row>
    <row r="40" spans="1:18" ht="12.75">
      <c r="A40" s="27" t="s">
        <v>47</v>
      </c>
      <c r="B40" s="28" t="s">
        <v>44</v>
      </c>
      <c r="C40" s="27">
        <v>37192.46</v>
      </c>
      <c r="D40" s="27" t="s">
        <v>45</v>
      </c>
      <c r="E40">
        <f t="shared" si="0"/>
        <v>3491.9705313842155</v>
      </c>
      <c r="F40">
        <f t="shared" si="1"/>
        <v>3492</v>
      </c>
      <c r="G40">
        <f t="shared" si="2"/>
        <v>-0.0767444000011892</v>
      </c>
      <c r="I40">
        <f t="shared" si="3"/>
        <v>-0.0767444000011892</v>
      </c>
      <c r="O40">
        <f t="shared" si="4"/>
        <v>-0.0007349303912831881</v>
      </c>
      <c r="P40">
        <f t="shared" si="5"/>
        <v>-0.4720831606037187</v>
      </c>
      <c r="Q40" s="2">
        <f t="shared" si="6"/>
        <v>22173.96</v>
      </c>
      <c r="R40">
        <f t="shared" si="7"/>
        <v>-0.0767444000011892</v>
      </c>
    </row>
    <row r="41" spans="1:18" ht="12.75">
      <c r="A41" s="27" t="s">
        <v>47</v>
      </c>
      <c r="B41" s="28" t="s">
        <v>44</v>
      </c>
      <c r="C41" s="27">
        <v>37575.399</v>
      </c>
      <c r="D41" s="27" t="s">
        <v>45</v>
      </c>
      <c r="E41">
        <f t="shared" si="0"/>
        <v>3639.012950894561</v>
      </c>
      <c r="F41">
        <f t="shared" si="1"/>
        <v>3639</v>
      </c>
      <c r="G41">
        <f t="shared" si="2"/>
        <v>0.03372769999987213</v>
      </c>
      <c r="I41">
        <f t="shared" si="3"/>
        <v>0.03372769999987213</v>
      </c>
      <c r="O41">
        <f t="shared" si="4"/>
        <v>-0.0005173612058634435</v>
      </c>
      <c r="P41">
        <f t="shared" si="5"/>
        <v>-0.47736953437402435</v>
      </c>
      <c r="Q41" s="2">
        <f t="shared" si="6"/>
        <v>22556.898999999998</v>
      </c>
      <c r="R41">
        <f t="shared" si="7"/>
        <v>0.03372769999987213</v>
      </c>
    </row>
    <row r="42" spans="1:18" ht="12.75">
      <c r="A42" s="27" t="s">
        <v>47</v>
      </c>
      <c r="B42" s="28" t="s">
        <v>44</v>
      </c>
      <c r="C42" s="27">
        <v>38372.253</v>
      </c>
      <c r="D42" s="27" t="s">
        <v>45</v>
      </c>
      <c r="E42">
        <f t="shared" si="0"/>
        <v>3944.992075915771</v>
      </c>
      <c r="F42">
        <f t="shared" si="1"/>
        <v>3945</v>
      </c>
      <c r="G42">
        <f t="shared" si="2"/>
        <v>-0.020636500004911795</v>
      </c>
      <c r="I42">
        <f t="shared" si="3"/>
        <v>-0.020636500004911795</v>
      </c>
      <c r="O42">
        <f t="shared" si="4"/>
        <v>-6.446208519377168E-05</v>
      </c>
      <c r="P42">
        <f t="shared" si="5"/>
        <v>-0.48837382263057905</v>
      </c>
      <c r="Q42" s="2">
        <f t="shared" si="6"/>
        <v>23353.752999999997</v>
      </c>
      <c r="R42">
        <f t="shared" si="7"/>
        <v>-0.020636500004911795</v>
      </c>
    </row>
    <row r="43" spans="1:18" ht="12.75">
      <c r="A43" s="10" t="s">
        <v>48</v>
      </c>
      <c r="B43" s="30"/>
      <c r="C43" s="31">
        <v>52112.443</v>
      </c>
      <c r="D43" s="31">
        <v>0.0019</v>
      </c>
      <c r="E43">
        <f t="shared" si="0"/>
        <v>9221.004135622046</v>
      </c>
      <c r="F43">
        <f t="shared" si="1"/>
        <v>9221</v>
      </c>
      <c r="G43">
        <f t="shared" si="2"/>
        <v>0.010770299995783716</v>
      </c>
      <c r="J43">
        <f>+G43</f>
        <v>0.010770299995783716</v>
      </c>
      <c r="O43">
        <f t="shared" si="4"/>
        <v>0.007744347590143444</v>
      </c>
      <c r="P43">
        <f t="shared" si="5"/>
        <v>-0.6781078907403253</v>
      </c>
      <c r="Q43" s="2">
        <f t="shared" si="6"/>
        <v>37093.943</v>
      </c>
      <c r="R43">
        <f t="shared" si="7"/>
        <v>0.010770299995783716</v>
      </c>
    </row>
    <row r="44" spans="1:18" ht="12.75">
      <c r="A44" s="27" t="s">
        <v>49</v>
      </c>
      <c r="B44" s="28" t="s">
        <v>44</v>
      </c>
      <c r="C44" s="27">
        <v>54685.4798</v>
      </c>
      <c r="D44" s="27" t="s">
        <v>45</v>
      </c>
      <c r="E44">
        <f t="shared" si="0"/>
        <v>10209.008900248158</v>
      </c>
      <c r="F44">
        <f t="shared" si="1"/>
        <v>10209</v>
      </c>
      <c r="G44">
        <f t="shared" si="2"/>
        <v>0.02317870000115363</v>
      </c>
      <c r="K44">
        <f>+G44</f>
        <v>0.02317870000115363</v>
      </c>
      <c r="O44">
        <f t="shared" si="4"/>
        <v>0.009206649326161862</v>
      </c>
      <c r="P44">
        <f t="shared" si="5"/>
        <v>-0.7136380763529919</v>
      </c>
      <c r="Q44" s="2">
        <f t="shared" si="6"/>
        <v>39666.9798</v>
      </c>
      <c r="R44">
        <f t="shared" si="7"/>
        <v>0.02317870000115363</v>
      </c>
    </row>
    <row r="45" spans="1:18" ht="12.75">
      <c r="A45" s="27" t="s">
        <v>50</v>
      </c>
      <c r="B45" s="28" t="s">
        <v>44</v>
      </c>
      <c r="C45" s="27">
        <v>55060.4777</v>
      </c>
      <c r="D45" s="27" t="s">
        <v>45</v>
      </c>
      <c r="E45">
        <f t="shared" si="0"/>
        <v>10353.002065027142</v>
      </c>
      <c r="F45">
        <f t="shared" si="1"/>
        <v>10353</v>
      </c>
      <c r="G45">
        <f t="shared" si="2"/>
        <v>0.005377900000894442</v>
      </c>
      <c r="K45">
        <f>+G45</f>
        <v>0.005377900000894442</v>
      </c>
      <c r="O45">
        <f t="shared" si="4"/>
        <v>0.009419778324124058</v>
      </c>
      <c r="P45">
        <f t="shared" si="5"/>
        <v>-0.7188165649443119</v>
      </c>
      <c r="Q45" s="2">
        <f t="shared" si="6"/>
        <v>40041.9777</v>
      </c>
      <c r="R45">
        <f t="shared" si="7"/>
        <v>0.005377900000894442</v>
      </c>
    </row>
    <row r="46" spans="1:18" ht="12.75">
      <c r="A46" s="10" t="s">
        <v>51</v>
      </c>
      <c r="B46" s="32" t="s">
        <v>44</v>
      </c>
      <c r="C46" s="10">
        <v>55073.5275</v>
      </c>
      <c r="D46" s="10">
        <v>0.003</v>
      </c>
      <c r="E46">
        <f t="shared" si="0"/>
        <v>10358.012978426208</v>
      </c>
      <c r="F46">
        <f t="shared" si="1"/>
        <v>10358</v>
      </c>
      <c r="G46">
        <f t="shared" si="2"/>
        <v>0.03379940000013448</v>
      </c>
      <c r="J46">
        <f>+G46</f>
        <v>0.03379940000013448</v>
      </c>
      <c r="O46">
        <f t="shared" si="4"/>
        <v>0.009427178636553301</v>
      </c>
      <c r="P46">
        <f t="shared" si="5"/>
        <v>-0.7189963735759549</v>
      </c>
      <c r="Q46" s="2">
        <f t="shared" si="6"/>
        <v>40055.0275</v>
      </c>
      <c r="R46">
        <f t="shared" si="7"/>
        <v>0.03379940000013448</v>
      </c>
    </row>
    <row r="47" spans="1:18" ht="12.75">
      <c r="A47" s="33" t="s">
        <v>52</v>
      </c>
      <c r="B47" s="34" t="s">
        <v>44</v>
      </c>
      <c r="C47" s="35">
        <v>56534.4857</v>
      </c>
      <c r="D47" s="36">
        <v>0.0378</v>
      </c>
      <c r="E47">
        <f t="shared" si="0"/>
        <v>10918.997439480005</v>
      </c>
      <c r="F47">
        <f t="shared" si="1"/>
        <v>10919</v>
      </c>
      <c r="G47">
        <f t="shared" si="2"/>
        <v>-0.006668300004093908</v>
      </c>
      <c r="J47">
        <f>+G47</f>
        <v>-0.006668300004093908</v>
      </c>
      <c r="O47">
        <f t="shared" si="4"/>
        <v>0.010257493691114367</v>
      </c>
      <c r="P47">
        <f t="shared" si="5"/>
        <v>-0.7391709020463051</v>
      </c>
      <c r="Q47" s="2">
        <f t="shared" si="6"/>
        <v>41515.9857</v>
      </c>
      <c r="R47">
        <f t="shared" si="7"/>
        <v>-0.006668300004093908</v>
      </c>
    </row>
    <row r="48" spans="1:18" ht="12.75">
      <c r="A48" s="37" t="s">
        <v>0</v>
      </c>
      <c r="B48" s="38" t="s">
        <v>44</v>
      </c>
      <c r="C48" s="38">
        <v>57982.492</v>
      </c>
      <c r="D48" s="38">
        <v>0.0061</v>
      </c>
      <c r="E48">
        <f>+(C48-C$7)/C$8</f>
        <v>11475.0085791608</v>
      </c>
      <c r="F48">
        <f t="shared" si="1"/>
        <v>11475</v>
      </c>
      <c r="G48">
        <f>+C48-(C$7+F48*C$8)</f>
        <v>0.022342500000377186</v>
      </c>
      <c r="K48">
        <f>+G48</f>
        <v>0.022342500000377186</v>
      </c>
      <c r="O48">
        <f>+C$11+C$12*$F48</f>
        <v>0.011080408433246189</v>
      </c>
      <c r="P48">
        <f>+D$11+D$12*$F48</f>
        <v>-0.7591656218850122</v>
      </c>
      <c r="Q48" s="2">
        <f>+C48-15018.5</f>
        <v>42963.992</v>
      </c>
      <c r="R48">
        <f>G48</f>
        <v>0.022342500000377186</v>
      </c>
    </row>
  </sheetData>
  <sheetProtection/>
  <hyperlinks>
    <hyperlink ref="H64644" r:id="rId1" display="http://vsolj.cetus-net.org/bulletin.html"/>
    <hyperlink ref="H64637" r:id="rId2" display="https://www.aavso.org/ejaavso"/>
    <hyperlink ref="AP788" r:id="rId3" display="http://cdsbib.u-strasbg.fr/cgi-bin/cdsbib?1990RMxAA..21..381G"/>
    <hyperlink ref="AP792" r:id="rId4" display="http://cdsbib.u-strasbg.fr/cgi-bin/cdsbib?1990RMxAA..21..381G"/>
    <hyperlink ref="AP791" r:id="rId5" display="http://cdsbib.u-strasbg.fr/cgi-bin/cdsbib?1990RMxAA..21..381G"/>
    <hyperlink ref="AP772" r:id="rId6" display="http://cdsbib.u-strasbg.fr/cgi-bin/cdsbib?1990RMxAA..21..381G"/>
    <hyperlink ref="I64644" r:id="rId7" display="http://vsolj.cetus-net.org/bulletin.html"/>
    <hyperlink ref="AQ928" r:id="rId8" display="http://cdsbib.u-strasbg.fr/cgi-bin/cdsbib?1990RMxAA..21..381G"/>
    <hyperlink ref="AQ55694" r:id="rId9" display="http://cdsbib.u-strasbg.fr/cgi-bin/cdsbib?1990RMxAA..21..381G"/>
    <hyperlink ref="AQ929" r:id="rId10" display="http://cdsbib.u-strasbg.fr/cgi-bin/cdsbib?1990RMxAA..21..381G"/>
    <hyperlink ref="H64641" r:id="rId11" display="https://www.aavso.org/ejaavso"/>
    <hyperlink ref="H1814" r:id="rId12" display="http://vsolj.cetus-net.org/bulletin.html"/>
    <hyperlink ref="AP3058" r:id="rId13" display="http://cdsbib.u-strasbg.fr/cgi-bin/cdsbib?1990RMxAA..21..381G"/>
    <hyperlink ref="AP3061" r:id="rId14" display="http://cdsbib.u-strasbg.fr/cgi-bin/cdsbib?1990RMxAA..21..381G"/>
    <hyperlink ref="AP3059" r:id="rId15" display="http://cdsbib.u-strasbg.fr/cgi-bin/cdsbib?1990RMxAA..21..381G"/>
    <hyperlink ref="AP3043" r:id="rId16" display="http://cdsbib.u-strasbg.fr/cgi-bin/cdsbib?1990RMxAA..21..381G"/>
    <hyperlink ref="I1814" r:id="rId17" display="http://vsolj.cetus-net.org/bulletin.html"/>
    <hyperlink ref="AQ3272" r:id="rId18" display="http://cdsbib.u-strasbg.fr/cgi-bin/cdsbib?1990RMxAA..21..381G"/>
    <hyperlink ref="AQ65509" r:id="rId19" display="http://cdsbib.u-strasbg.fr/cgi-bin/cdsbib?1990RMxAA..21..381G"/>
    <hyperlink ref="AQ3276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