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<sst xmlns="http://schemas.openxmlformats.org/spreadsheetml/2006/main" count="233" uniqueCount="133">
  <si>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</si>
  <si>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</si>
  <si>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</si>
  <si>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</si>
  <si>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</si>
  <si>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</si>
  <si>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</si>
  <si>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</si>
  <si>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</si>
  <si>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</si>
  <si>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</si>
  <si>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</si>
  <si>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</si>
  <si>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</si>
  <si>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</si>
  <si>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</si>
  <si>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</si>
  <si>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</si>
  <si>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</si>
  <si>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</si>
  <si>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</si>
  <si>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</si>
  <si>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</si>
  <si>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</si>
  <si>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</si>
  <si>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</si>
  <si>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</si>
  <si>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</si>
  <si>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</si>
  <si>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</si>
  <si>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Bull.92</t>
  </si>
  <si>
    <t>B</t>
  </si>
  <si>
    <t>IBVS 5016</t>
  </si>
  <si>
    <t># of data points:</t>
  </si>
  <si>
    <t>EA/SD</t>
  </si>
  <si>
    <t>V642 Cyg / gsc 3971-0408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</si>
  <si>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</si>
  <si>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</si>
  <si>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</si>
  <si>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</si>
  <si>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</si>
  <si>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</si>
  <si>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</si>
  <si>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</si>
  <si>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</si>
  <si>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</si>
  <si>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</si>
  <si>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</si>
  <si>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2414784.40 </t>
  </si>
  <si>
    <t> 09.05.1899 21:36 </t>
  </si>
  <si>
    <t> -0.00 </t>
  </si>
  <si>
    <t>P </t>
  </si>
  <si>
    <t> N.B.Perova </t>
  </si>
  <si>
    <t> PZ 9.145 </t>
  </si>
  <si>
    <t>2415291.27 </t>
  </si>
  <si>
    <t> 28.09.1900 18:28 </t>
  </si>
  <si>
    <t> -0.03 </t>
  </si>
  <si>
    <t>2416736.38 </t>
  </si>
  <si>
    <t> 12.09.1904 21:07 </t>
  </si>
  <si>
    <t> -0.02 </t>
  </si>
  <si>
    <t>2428408.41 </t>
  </si>
  <si>
    <t> 27.08.1936 21:50 </t>
  </si>
  <si>
    <t> 0.03 </t>
  </si>
  <si>
    <t> P.Parenago </t>
  </si>
  <si>
    <t> PZ 5.206 </t>
  </si>
  <si>
    <t>2428759.48 </t>
  </si>
  <si>
    <t> 13.08.1937 23:31 </t>
  </si>
  <si>
    <t> -0.17 </t>
  </si>
  <si>
    <t>2428789.34 </t>
  </si>
  <si>
    <t> 12.09.1937 20:09 </t>
  </si>
  <si>
    <t> 0.79 </t>
  </si>
  <si>
    <t>2429582.26 </t>
  </si>
  <si>
    <t> 14.11.1939 18:14 </t>
  </si>
  <si>
    <t> 0.01 </t>
  </si>
  <si>
    <t>2432850.36 </t>
  </si>
  <si>
    <t> 25.10.1948 20:38 </t>
  </si>
  <si>
    <t> -0.04 </t>
  </si>
  <si>
    <t>2433895.35 </t>
  </si>
  <si>
    <t> 05.09.1951 20:24 </t>
  </si>
  <si>
    <t>2447030.407 </t>
  </si>
  <si>
    <t> 22.08.1987 21:46 </t>
  </si>
  <si>
    <t> 0.225 </t>
  </si>
  <si>
    <t>V </t>
  </si>
  <si>
    <t> J.Borovicka </t>
  </si>
  <si>
    <t> BRNO 30 </t>
  </si>
  <si>
    <t>2447030.415 </t>
  </si>
  <si>
    <t> 22.08.1987 21:57 </t>
  </si>
  <si>
    <t> 0.233 </t>
  </si>
  <si>
    <t> A.Slatinsky </t>
  </si>
  <si>
    <t>2447777.426 </t>
  </si>
  <si>
    <t> 07.09.1989 22:13 </t>
  </si>
  <si>
    <t> 0.237 </t>
  </si>
  <si>
    <t> K.Locher </t>
  </si>
  <si>
    <t> BBS 92 </t>
  </si>
  <si>
    <t>2451343.5054 </t>
  </si>
  <si>
    <t> 14.06.1999 00:07 </t>
  </si>
  <si>
    <t> 0.2503 </t>
  </si>
  <si>
    <t>E </t>
  </si>
  <si>
    <t>o</t>
  </si>
  <si>
    <t> D.Husar </t>
  </si>
  <si>
    <t>BAVM 132 </t>
  </si>
  <si>
    <t>2454282.6785 </t>
  </si>
  <si>
    <t> 01.07.2007 04:17 </t>
  </si>
  <si>
    <t> 0.3087 </t>
  </si>
  <si>
    <t>C </t>
  </si>
  <si>
    <t>-I</t>
  </si>
  <si>
    <t> F.Agerer </t>
  </si>
  <si>
    <t>BAVM 203 </t>
  </si>
  <si>
    <t>2454389.3947 </t>
  </si>
  <si>
    <t> 15.10.2007 21:28 </t>
  </si>
  <si>
    <t>5758</t>
  </si>
  <si>
    <t> 0.3097 </t>
  </si>
  <si>
    <t> U.Schmidt </t>
  </si>
  <si>
    <t>BAVM 193 </t>
  </si>
  <si>
    <t>2454798.4741 </t>
  </si>
  <si>
    <t> 27.11.2008 23:22 </t>
  </si>
  <si>
    <t>5850</t>
  </si>
  <si>
    <t> 0.3142 </t>
  </si>
  <si>
    <t>2456928.4091 </t>
  </si>
  <si>
    <t> 27.09.2014 21:49 </t>
  </si>
  <si>
    <t>6329</t>
  </si>
  <si>
    <t> 0.3915 </t>
  </si>
  <si>
    <t>BAVM 239 </t>
  </si>
  <si>
    <t>I</t>
  </si>
  <si>
    <t>II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</si>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</sst>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V642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5"/>
          <c:w val="0.909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1668589"/>
        <c:axId val="18146390"/>
      </c:scatterChart>
      <c:val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crossBetween val="midCat"/>
        <c:dispUnits/>
      </c:val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2925"/>
          <c:w val="0.66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16</xdr:col>
      <xdr:colOff>523875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457700" y="57150"/>
        <a:ext cx="6115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32" TargetMode="External" /><Relationship Id="rId2" Type="http://schemas.openxmlformats.org/officeDocument/2006/relationships/hyperlink" Target="http://www.bav-astro.de/sfs/BAVM_link.php?BAVMnr=203" TargetMode="External" /><Relationship Id="rId3" Type="http://schemas.openxmlformats.org/officeDocument/2006/relationships/hyperlink" Target="http://www.bav-astro.de/sfs/BAVM_link.php?BAVMnr=193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16" t="s">
        <v>34</v>
      </c>
    </row>
    <row r="4" spans="1:4" ht="12.75">
      <c r="A4" s="8" t="s">
        <v>0</v>
      </c>
      <c r="C4" s="3">
        <v>28786.328</v>
      </c>
      <c r="D4" s="4">
        <v>4.446467</v>
      </c>
    </row>
    <row r="5" spans="1:4" ht="12.75">
      <c r="A5" s="37" t="s">
        <v>125</v>
      </c>
      <c r="B5" s="20"/>
      <c r="C5" s="38">
        <v>-9.5</v>
      </c>
      <c r="D5" s="20" t="s">
        <v>126</v>
      </c>
    </row>
    <row r="6" ht="12.75">
      <c r="A6" s="8" t="s">
        <v>1</v>
      </c>
    </row>
    <row r="7" spans="1:3" ht="12.75">
      <c r="A7" t="s">
        <v>2</v>
      </c>
      <c r="C7">
        <f>+C4</f>
        <v>28786.328</v>
      </c>
    </row>
    <row r="8" spans="1:3" ht="12.75">
      <c r="A8" t="s">
        <v>3</v>
      </c>
      <c r="C8">
        <f>+D4</f>
        <v>4.446467</v>
      </c>
    </row>
    <row r="9" spans="1:4" ht="12.75">
      <c r="A9" s="39" t="s">
        <v>127</v>
      </c>
      <c r="B9" s="40">
        <v>21</v>
      </c>
      <c r="C9" s="41" t="str">
        <f>"F"&amp;B9</f>
        <v>F21</v>
      </c>
      <c r="D9" s="42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3">
        <f ca="1">INTERCEPT(INDIRECT($D$9):G978,INDIRECT($C$9):F978)</f>
        <v>0.08847554358033122</v>
      </c>
      <c r="D11" s="6"/>
    </row>
    <row r="12" spans="1:4" ht="12.75">
      <c r="A12" t="s">
        <v>17</v>
      </c>
      <c r="C12" s="43">
        <f ca="1">SLOPE(INDIRECT($D$9):G978,INDIRECT($C$9):F978)</f>
        <v>3.708922126920403E-05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56928.340856225</v>
      </c>
      <c r="E15" s="44" t="s">
        <v>128</v>
      </c>
      <c r="F15" s="38">
        <v>1</v>
      </c>
    </row>
    <row r="16" spans="1:6" ht="12.75">
      <c r="A16" s="8" t="s">
        <v>4</v>
      </c>
      <c r="C16" s="12">
        <f>+C8+C12</f>
        <v>4.4465040892212695</v>
      </c>
      <c r="E16" s="44" t="s">
        <v>129</v>
      </c>
      <c r="F16" s="45">
        <f ca="1">NOW()+15018.5+$C$5/24</f>
        <v>59896.798566087964</v>
      </c>
    </row>
    <row r="17" spans="1:6" ht="13.5" thickBot="1">
      <c r="A17" s="13" t="s">
        <v>33</v>
      </c>
      <c r="C17">
        <f>COUNT(C21:C2191)</f>
        <v>18</v>
      </c>
      <c r="E17" s="44" t="s">
        <v>130</v>
      </c>
      <c r="F17" s="45">
        <f>ROUND(2*(F16-$C$7)/$C$8,0)/2+F15</f>
        <v>6997.5</v>
      </c>
    </row>
    <row r="18" spans="1:6" ht="12.75">
      <c r="A18" s="8" t="s">
        <v>5</v>
      </c>
      <c r="C18" s="3">
        <f>+C15</f>
        <v>56928.340856225</v>
      </c>
      <c r="D18" s="4">
        <f>+C16</f>
        <v>4.4465040892212695</v>
      </c>
      <c r="E18" s="44" t="s">
        <v>131</v>
      </c>
      <c r="F18" s="42">
        <f>ROUND(2*(F16-$C$15)/$C$16,0)/2+F15</f>
        <v>668.5</v>
      </c>
    </row>
    <row r="19" spans="5:6" ht="13.5" thickTop="1">
      <c r="E19" s="44" t="s">
        <v>132</v>
      </c>
      <c r="F19" s="46">
        <f>+$C$15+$C$16*F18-15018.5-$C$5/24</f>
        <v>44882.72467320275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44</v>
      </c>
      <c r="I20" s="10" t="s">
        <v>47</v>
      </c>
      <c r="J20" s="10" t="s">
        <v>41</v>
      </c>
      <c r="K20" s="10" t="s">
        <v>39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s="33" t="s">
        <v>53</v>
      </c>
      <c r="B21" s="36" t="s">
        <v>123</v>
      </c>
      <c r="C21" s="34">
        <v>14784.4</v>
      </c>
      <c r="D21" s="35" t="s">
        <v>47</v>
      </c>
      <c r="E21">
        <f aca="true" t="shared" si="0" ref="E21:E38">+(C21-C$7)/C$8</f>
        <v>-3149.0007684752863</v>
      </c>
      <c r="F21">
        <f aca="true" t="shared" si="1" ref="F21:F38">ROUND(2*E21,0)/2</f>
        <v>-3149</v>
      </c>
      <c r="G21">
        <f aca="true" t="shared" si="2" ref="G21:G38">+C21-(C$7+F21*C$8)</f>
        <v>-0.0034170000017184066</v>
      </c>
      <c r="H21">
        <f aca="true" t="shared" si="3" ref="H21:H30">+G21</f>
        <v>-0.0034170000017184066</v>
      </c>
      <c r="O21">
        <f aca="true" t="shared" si="4" ref="O21:O38">+C$11+C$12*F21</f>
        <v>-0.028318414196392278</v>
      </c>
      <c r="Q21" s="2">
        <f aca="true" t="shared" si="5" ref="Q21:Q38">+C21-15018.5</f>
        <v>-234.10000000000036</v>
      </c>
    </row>
    <row r="22" spans="1:17" ht="12.75">
      <c r="A22" s="33" t="s">
        <v>53</v>
      </c>
      <c r="B22" s="36" t="s">
        <v>123</v>
      </c>
      <c r="C22" s="35">
        <v>15291.27</v>
      </c>
      <c r="D22" s="35" t="s">
        <v>47</v>
      </c>
      <c r="E22">
        <f t="shared" si="0"/>
        <v>-3035.0068942376047</v>
      </c>
      <c r="F22">
        <f t="shared" si="1"/>
        <v>-3035</v>
      </c>
      <c r="G22">
        <f t="shared" si="2"/>
        <v>-0.03065500000047905</v>
      </c>
      <c r="H22">
        <f t="shared" si="3"/>
        <v>-0.03065500000047905</v>
      </c>
      <c r="O22">
        <f t="shared" si="4"/>
        <v>-0.02409024297170302</v>
      </c>
      <c r="Q22" s="2">
        <f t="shared" si="5"/>
        <v>272.77000000000044</v>
      </c>
    </row>
    <row r="23" spans="1:17" ht="12.75">
      <c r="A23" s="33" t="s">
        <v>53</v>
      </c>
      <c r="B23" s="36" t="s">
        <v>123</v>
      </c>
      <c r="C23" s="35">
        <v>16736.38</v>
      </c>
      <c r="D23" s="35" t="s">
        <v>47</v>
      </c>
      <c r="E23">
        <f t="shared" si="0"/>
        <v>-2710.005044454395</v>
      </c>
      <c r="F23">
        <f t="shared" si="1"/>
        <v>-2710</v>
      </c>
      <c r="G23">
        <f t="shared" si="2"/>
        <v>-0.022430000000895234</v>
      </c>
      <c r="H23">
        <f t="shared" si="3"/>
        <v>-0.022430000000895234</v>
      </c>
      <c r="O23">
        <f t="shared" si="4"/>
        <v>-0.012036246059211705</v>
      </c>
      <c r="Q23" s="2">
        <f t="shared" si="5"/>
        <v>1717.880000000001</v>
      </c>
    </row>
    <row r="24" spans="1:17" ht="12.75">
      <c r="A24" s="33" t="s">
        <v>64</v>
      </c>
      <c r="B24" s="36" t="s">
        <v>123</v>
      </c>
      <c r="C24" s="35">
        <v>28408.41</v>
      </c>
      <c r="D24" s="35" t="s">
        <v>47</v>
      </c>
      <c r="E24">
        <f t="shared" si="0"/>
        <v>-84.99287186883463</v>
      </c>
      <c r="F24">
        <f t="shared" si="1"/>
        <v>-85</v>
      </c>
      <c r="G24">
        <f t="shared" si="2"/>
        <v>0.0316949999978533</v>
      </c>
      <c r="H24">
        <f t="shared" si="3"/>
        <v>0.0316949999978533</v>
      </c>
      <c r="O24">
        <f t="shared" si="4"/>
        <v>0.08532295977244887</v>
      </c>
      <c r="Q24" s="2">
        <f t="shared" si="5"/>
        <v>13389.91</v>
      </c>
    </row>
    <row r="25" spans="1:17" ht="12.75">
      <c r="A25" s="33" t="s">
        <v>64</v>
      </c>
      <c r="B25" s="36" t="s">
        <v>123</v>
      </c>
      <c r="C25" s="35">
        <v>28759.48</v>
      </c>
      <c r="D25" s="35" t="s">
        <v>47</v>
      </c>
      <c r="E25">
        <f t="shared" si="0"/>
        <v>-6.038052233380293</v>
      </c>
      <c r="F25">
        <f t="shared" si="1"/>
        <v>-6</v>
      </c>
      <c r="G25">
        <f t="shared" si="2"/>
        <v>-0.16919800000323448</v>
      </c>
      <c r="H25">
        <f t="shared" si="3"/>
        <v>-0.16919800000323448</v>
      </c>
      <c r="O25">
        <f t="shared" si="4"/>
        <v>0.088253008252716</v>
      </c>
      <c r="Q25" s="2">
        <f t="shared" si="5"/>
        <v>13740.98</v>
      </c>
    </row>
    <row r="26" spans="1:17" ht="12.75">
      <c r="A26" t="s">
        <v>12</v>
      </c>
      <c r="C26" s="14">
        <v>28786.328</v>
      </c>
      <c r="D26" s="14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O26">
        <f t="shared" si="4"/>
        <v>0.08847554358033122</v>
      </c>
      <c r="Q26" s="2">
        <f t="shared" si="5"/>
        <v>13767.828000000001</v>
      </c>
    </row>
    <row r="27" spans="1:17" ht="12.75">
      <c r="A27" s="33" t="s">
        <v>64</v>
      </c>
      <c r="B27" s="36" t="s">
        <v>124</v>
      </c>
      <c r="C27" s="35">
        <v>28789.34</v>
      </c>
      <c r="D27" s="35" t="s">
        <v>47</v>
      </c>
      <c r="E27">
        <f t="shared" si="0"/>
        <v>0.6773917359554915</v>
      </c>
      <c r="F27">
        <f t="shared" si="1"/>
        <v>0.5</v>
      </c>
      <c r="G27">
        <f t="shared" si="2"/>
        <v>0.7887664999980188</v>
      </c>
      <c r="H27">
        <f t="shared" si="3"/>
        <v>0.7887664999980188</v>
      </c>
      <c r="O27">
        <f t="shared" si="4"/>
        <v>0.08849408819096583</v>
      </c>
      <c r="Q27" s="2">
        <f t="shared" si="5"/>
        <v>13770.84</v>
      </c>
    </row>
    <row r="28" spans="1:17" ht="12.75">
      <c r="A28" s="33" t="s">
        <v>53</v>
      </c>
      <c r="B28" s="36" t="s">
        <v>123</v>
      </c>
      <c r="C28" s="35">
        <v>29582.26</v>
      </c>
      <c r="D28" s="35" t="s">
        <v>47</v>
      </c>
      <c r="E28">
        <f t="shared" si="0"/>
        <v>179.0032401005106</v>
      </c>
      <c r="F28">
        <f t="shared" si="1"/>
        <v>179</v>
      </c>
      <c r="G28">
        <f t="shared" si="2"/>
        <v>0.014406999998755055</v>
      </c>
      <c r="H28">
        <f t="shared" si="3"/>
        <v>0.014406999998755055</v>
      </c>
      <c r="O28">
        <f t="shared" si="4"/>
        <v>0.09511451418751873</v>
      </c>
      <c r="Q28" s="2">
        <f t="shared" si="5"/>
        <v>14563.759999999998</v>
      </c>
    </row>
    <row r="29" spans="1:17" ht="12.75">
      <c r="A29" s="33" t="s">
        <v>53</v>
      </c>
      <c r="B29" s="36" t="s">
        <v>123</v>
      </c>
      <c r="C29" s="35">
        <v>32850.36</v>
      </c>
      <c r="D29" s="35" t="s">
        <v>47</v>
      </c>
      <c r="E29">
        <f t="shared" si="0"/>
        <v>913.9912654248866</v>
      </c>
      <c r="F29">
        <f t="shared" si="1"/>
        <v>914</v>
      </c>
      <c r="G29">
        <f t="shared" si="2"/>
        <v>-0.03883800000039628</v>
      </c>
      <c r="H29">
        <f t="shared" si="3"/>
        <v>-0.03883800000039628</v>
      </c>
      <c r="O29">
        <f t="shared" si="4"/>
        <v>0.1223750918203837</v>
      </c>
      <c r="Q29" s="2">
        <f t="shared" si="5"/>
        <v>17831.86</v>
      </c>
    </row>
    <row r="30" spans="1:17" ht="12.75">
      <c r="A30" s="33" t="s">
        <v>53</v>
      </c>
      <c r="B30" s="36" t="s">
        <v>123</v>
      </c>
      <c r="C30" s="35">
        <v>33895.35</v>
      </c>
      <c r="D30" s="35" t="s">
        <v>47</v>
      </c>
      <c r="E30">
        <f t="shared" si="0"/>
        <v>1149.007065609617</v>
      </c>
      <c r="F30">
        <f t="shared" si="1"/>
        <v>1149</v>
      </c>
      <c r="G30">
        <f t="shared" si="2"/>
        <v>0.03141699999832781</v>
      </c>
      <c r="H30">
        <f t="shared" si="3"/>
        <v>0.03141699999832781</v>
      </c>
      <c r="O30">
        <f t="shared" si="4"/>
        <v>0.13109105881864666</v>
      </c>
      <c r="Q30" s="2">
        <f t="shared" si="5"/>
        <v>18876.85</v>
      </c>
    </row>
    <row r="31" spans="1:17" ht="12.75">
      <c r="A31" s="33" t="s">
        <v>84</v>
      </c>
      <c r="B31" s="36" t="s">
        <v>123</v>
      </c>
      <c r="C31" s="35">
        <v>47030.407</v>
      </c>
      <c r="D31" s="35" t="s">
        <v>47</v>
      </c>
      <c r="E31">
        <f t="shared" si="0"/>
        <v>4103.050579257644</v>
      </c>
      <c r="F31">
        <f t="shared" si="1"/>
        <v>4103</v>
      </c>
      <c r="G31">
        <f t="shared" si="2"/>
        <v>0.22489900000073249</v>
      </c>
      <c r="I31">
        <f>+G31</f>
        <v>0.22489900000073249</v>
      </c>
      <c r="O31">
        <f t="shared" si="4"/>
        <v>0.24065261844787536</v>
      </c>
      <c r="Q31" s="2">
        <f t="shared" si="5"/>
        <v>32011.907</v>
      </c>
    </row>
    <row r="32" spans="1:17" ht="12.75">
      <c r="A32" s="33" t="s">
        <v>84</v>
      </c>
      <c r="B32" s="36" t="s">
        <v>123</v>
      </c>
      <c r="C32" s="35">
        <v>47030.415</v>
      </c>
      <c r="D32" s="35" t="s">
        <v>47</v>
      </c>
      <c r="E32">
        <f t="shared" si="0"/>
        <v>4103.0523784388815</v>
      </c>
      <c r="F32">
        <f t="shared" si="1"/>
        <v>4103</v>
      </c>
      <c r="G32">
        <f t="shared" si="2"/>
        <v>0.2328990000023623</v>
      </c>
      <c r="I32">
        <f>+G32</f>
        <v>0.2328990000023623</v>
      </c>
      <c r="O32">
        <f t="shared" si="4"/>
        <v>0.24065261844787536</v>
      </c>
      <c r="Q32" s="2">
        <f t="shared" si="5"/>
        <v>32011.915</v>
      </c>
    </row>
    <row r="33" spans="1:30" ht="12.75">
      <c r="A33" t="s">
        <v>30</v>
      </c>
      <c r="C33" s="15">
        <v>47777.426</v>
      </c>
      <c r="D33" s="14"/>
      <c r="E33">
        <f t="shared" si="0"/>
        <v>4271.053400373824</v>
      </c>
      <c r="F33">
        <f t="shared" si="1"/>
        <v>4271</v>
      </c>
      <c r="G33">
        <f t="shared" si="2"/>
        <v>0.23744299999816576</v>
      </c>
      <c r="I33">
        <f>+G33</f>
        <v>0.23744299999816576</v>
      </c>
      <c r="O33">
        <f t="shared" si="4"/>
        <v>0.24688360762110165</v>
      </c>
      <c r="Q33" s="2">
        <f t="shared" si="5"/>
        <v>32758.926</v>
      </c>
      <c r="AA33">
        <v>7</v>
      </c>
      <c r="AB33" t="s">
        <v>29</v>
      </c>
      <c r="AD33" t="s">
        <v>31</v>
      </c>
    </row>
    <row r="34" spans="1:18" ht="12.75">
      <c r="A34" t="s">
        <v>32</v>
      </c>
      <c r="C34" s="14">
        <v>51343.5054</v>
      </c>
      <c r="D34" s="14">
        <v>0.0014</v>
      </c>
      <c r="E34">
        <f t="shared" si="0"/>
        <v>5073.0562939070505</v>
      </c>
      <c r="F34">
        <f t="shared" si="1"/>
        <v>5073</v>
      </c>
      <c r="G34">
        <f t="shared" si="2"/>
        <v>0.25030900000274414</v>
      </c>
      <c r="J34">
        <f>+G34</f>
        <v>0.25030900000274414</v>
      </c>
      <c r="O34">
        <f t="shared" si="4"/>
        <v>0.2766291630790033</v>
      </c>
      <c r="Q34" s="2">
        <f t="shared" si="5"/>
        <v>36325.0054</v>
      </c>
      <c r="R34" t="s">
        <v>41</v>
      </c>
    </row>
    <row r="35" spans="1:17" ht="12.75">
      <c r="A35" s="33" t="s">
        <v>107</v>
      </c>
      <c r="B35" s="36" t="s">
        <v>123</v>
      </c>
      <c r="C35" s="35">
        <v>54282.6785</v>
      </c>
      <c r="D35" s="35" t="s">
        <v>47</v>
      </c>
      <c r="E35">
        <f t="shared" si="0"/>
        <v>5734.069430853754</v>
      </c>
      <c r="F35">
        <f t="shared" si="1"/>
        <v>5734</v>
      </c>
      <c r="G35">
        <f t="shared" si="2"/>
        <v>0.3087219999943045</v>
      </c>
      <c r="K35">
        <f>+G35</f>
        <v>0.3087219999943045</v>
      </c>
      <c r="O35">
        <f t="shared" si="4"/>
        <v>0.30114513833794715</v>
      </c>
      <c r="Q35" s="2">
        <f t="shared" si="5"/>
        <v>39264.1785</v>
      </c>
    </row>
    <row r="36" spans="1:17" ht="12.75">
      <c r="A36" s="33" t="s">
        <v>113</v>
      </c>
      <c r="B36" s="36" t="s">
        <v>123</v>
      </c>
      <c r="C36" s="35">
        <v>54389.3947</v>
      </c>
      <c r="D36" s="35" t="s">
        <v>47</v>
      </c>
      <c r="E36">
        <f t="shared" si="0"/>
        <v>5758.069653952227</v>
      </c>
      <c r="F36">
        <f t="shared" si="1"/>
        <v>5758</v>
      </c>
      <c r="G36">
        <f t="shared" si="2"/>
        <v>0.3097139999954379</v>
      </c>
      <c r="K36">
        <f>+G36</f>
        <v>0.3097139999954379</v>
      </c>
      <c r="O36">
        <f t="shared" si="4"/>
        <v>0.30203527964840804</v>
      </c>
      <c r="Q36" s="2">
        <f t="shared" si="5"/>
        <v>39370.8947</v>
      </c>
    </row>
    <row r="37" spans="1:17" ht="12.75">
      <c r="A37" s="33" t="s">
        <v>107</v>
      </c>
      <c r="B37" s="36" t="s">
        <v>123</v>
      </c>
      <c r="C37" s="35">
        <v>54798.4741</v>
      </c>
      <c r="D37" s="35" t="s">
        <v>47</v>
      </c>
      <c r="E37">
        <f t="shared" si="0"/>
        <v>5850.070651598223</v>
      </c>
      <c r="F37">
        <f t="shared" si="1"/>
        <v>5850</v>
      </c>
      <c r="G37">
        <f t="shared" si="2"/>
        <v>0.31414999999833526</v>
      </c>
      <c r="K37">
        <f>+G37</f>
        <v>0.31414999999833526</v>
      </c>
      <c r="O37">
        <f t="shared" si="4"/>
        <v>0.30544748800517485</v>
      </c>
      <c r="Q37" s="2">
        <f t="shared" si="5"/>
        <v>39779.9741</v>
      </c>
    </row>
    <row r="38" spans="1:18" ht="12.75">
      <c r="A38" s="17" t="s">
        <v>36</v>
      </c>
      <c r="B38" s="18"/>
      <c r="C38" s="17">
        <v>56928.4091</v>
      </c>
      <c r="D38" s="17">
        <v>0.0032</v>
      </c>
      <c r="E38">
        <f t="shared" si="0"/>
        <v>6329.088037761215</v>
      </c>
      <c r="F38">
        <f t="shared" si="1"/>
        <v>6329</v>
      </c>
      <c r="G38">
        <f t="shared" si="2"/>
        <v>0.3914569999978994</v>
      </c>
      <c r="J38">
        <f>+G38</f>
        <v>0.3914569999978994</v>
      </c>
      <c r="O38">
        <f t="shared" si="4"/>
        <v>0.32321322499312355</v>
      </c>
      <c r="Q38" s="2">
        <f t="shared" si="5"/>
        <v>41909.9091</v>
      </c>
      <c r="R38" t="s">
        <v>41</v>
      </c>
    </row>
    <row r="39" spans="2:4" ht="12.75">
      <c r="B39" s="6"/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5">
      <selection activeCell="A14" sqref="A14:D27"/>
    </sheetView>
  </sheetViews>
  <sheetFormatPr defaultColWidth="9.140625" defaultRowHeight="12.75"/>
  <cols>
    <col min="1" max="1" width="19.7109375" style="14" customWidth="1"/>
    <col min="2" max="2" width="4.421875" style="20" customWidth="1"/>
    <col min="3" max="3" width="12.7109375" style="14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4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19" t="s">
        <v>37</v>
      </c>
      <c r="I1" s="21" t="s">
        <v>38</v>
      </c>
      <c r="J1" s="22" t="s">
        <v>39</v>
      </c>
    </row>
    <row r="2" spans="9:10" ht="12.75">
      <c r="I2" s="23" t="s">
        <v>40</v>
      </c>
      <c r="J2" s="24" t="s">
        <v>41</v>
      </c>
    </row>
    <row r="3" spans="1:10" ht="12.75">
      <c r="A3" s="25" t="s">
        <v>42</v>
      </c>
      <c r="I3" s="23" t="s">
        <v>43</v>
      </c>
      <c r="J3" s="24" t="s">
        <v>44</v>
      </c>
    </row>
    <row r="4" spans="9:10" ht="12.75">
      <c r="I4" s="23" t="s">
        <v>45</v>
      </c>
      <c r="J4" s="24" t="s">
        <v>44</v>
      </c>
    </row>
    <row r="5" spans="9:10" ht="13.5" thickBot="1">
      <c r="I5" s="26" t="s">
        <v>46</v>
      </c>
      <c r="J5" s="27" t="s">
        <v>47</v>
      </c>
    </row>
    <row r="10" ht="13.5" thickBot="1"/>
    <row r="11" spans="1:16" ht="12.75" customHeight="1" thickBot="1">
      <c r="A11" s="14" t="str">
        <f aca="true" t="shared" si="0" ref="A11:A27">P11</f>
        <v> BBS 92 </v>
      </c>
      <c r="B11" s="6" t="str">
        <f aca="true" t="shared" si="1" ref="B11:B27">IF(H11=INT(H11),"I","II")</f>
        <v>I</v>
      </c>
      <c r="C11" s="14">
        <f aca="true" t="shared" si="2" ref="C11:C27">1*G11</f>
        <v>47777.426</v>
      </c>
      <c r="D11" s="20" t="str">
        <f aca="true" t="shared" si="3" ref="D11:D27">VLOOKUP(F11,I$1:J$5,2,FALSE)</f>
        <v>vis</v>
      </c>
      <c r="E11" s="28">
        <f>VLOOKUP(C11,A!C$21:E$973,3,FALSE)</f>
        <v>4271.053400373824</v>
      </c>
      <c r="F11" s="6" t="s">
        <v>46</v>
      </c>
      <c r="G11" s="20" t="str">
        <f aca="true" t="shared" si="4" ref="G11:G27">MID(I11,3,LEN(I11)-3)</f>
        <v>47777.426</v>
      </c>
      <c r="H11" s="14">
        <f aca="true" t="shared" si="5" ref="H11:H27">1*K11</f>
        <v>4271</v>
      </c>
      <c r="I11" s="29" t="s">
        <v>89</v>
      </c>
      <c r="J11" s="30" t="s">
        <v>90</v>
      </c>
      <c r="K11" s="29">
        <v>4271</v>
      </c>
      <c r="L11" s="29" t="s">
        <v>91</v>
      </c>
      <c r="M11" s="30" t="s">
        <v>82</v>
      </c>
      <c r="N11" s="30"/>
      <c r="O11" s="31" t="s">
        <v>92</v>
      </c>
      <c r="P11" s="31" t="s">
        <v>93</v>
      </c>
    </row>
    <row r="12" spans="1:16" ht="12.75" customHeight="1" thickBot="1">
      <c r="A12" s="14" t="str">
        <f t="shared" si="0"/>
        <v>BAVM 132 </v>
      </c>
      <c r="B12" s="6" t="str">
        <f t="shared" si="1"/>
        <v>I</v>
      </c>
      <c r="C12" s="14">
        <f t="shared" si="2"/>
        <v>51343.5054</v>
      </c>
      <c r="D12" s="20" t="str">
        <f t="shared" si="3"/>
        <v>vis</v>
      </c>
      <c r="E12" s="28">
        <f>VLOOKUP(C12,A!C$21:E$973,3,FALSE)</f>
        <v>5073.0562939070505</v>
      </c>
      <c r="F12" s="6" t="s">
        <v>46</v>
      </c>
      <c r="G12" s="20" t="str">
        <f t="shared" si="4"/>
        <v>51343.5054</v>
      </c>
      <c r="H12" s="14">
        <f t="shared" si="5"/>
        <v>5073</v>
      </c>
      <c r="I12" s="29" t="s">
        <v>94</v>
      </c>
      <c r="J12" s="30" t="s">
        <v>95</v>
      </c>
      <c r="K12" s="29">
        <v>5073</v>
      </c>
      <c r="L12" s="29" t="s">
        <v>96</v>
      </c>
      <c r="M12" s="30" t="s">
        <v>97</v>
      </c>
      <c r="N12" s="30" t="s">
        <v>98</v>
      </c>
      <c r="O12" s="31" t="s">
        <v>99</v>
      </c>
      <c r="P12" s="32" t="s">
        <v>100</v>
      </c>
    </row>
    <row r="13" spans="1:16" ht="12.75" customHeight="1" thickBot="1">
      <c r="A13" s="14" t="str">
        <f t="shared" si="0"/>
        <v>BAVM 239 </v>
      </c>
      <c r="B13" s="6" t="str">
        <f t="shared" si="1"/>
        <v>I</v>
      </c>
      <c r="C13" s="14">
        <f t="shared" si="2"/>
        <v>56928.4091</v>
      </c>
      <c r="D13" s="20" t="str">
        <f t="shared" si="3"/>
        <v>vis</v>
      </c>
      <c r="E13" s="28">
        <f>VLOOKUP(C13,A!C$21:E$973,3,FALSE)</f>
        <v>6329.088037761215</v>
      </c>
      <c r="F13" s="6" t="s">
        <v>46</v>
      </c>
      <c r="G13" s="20" t="str">
        <f t="shared" si="4"/>
        <v>56928.4091</v>
      </c>
      <c r="H13" s="14">
        <f t="shared" si="5"/>
        <v>6329</v>
      </c>
      <c r="I13" s="29" t="s">
        <v>118</v>
      </c>
      <c r="J13" s="30" t="s">
        <v>119</v>
      </c>
      <c r="K13" s="29" t="s">
        <v>120</v>
      </c>
      <c r="L13" s="29" t="s">
        <v>121</v>
      </c>
      <c r="M13" s="30" t="s">
        <v>104</v>
      </c>
      <c r="N13" s="30" t="s">
        <v>105</v>
      </c>
      <c r="O13" s="31" t="s">
        <v>106</v>
      </c>
      <c r="P13" s="32" t="s">
        <v>122</v>
      </c>
    </row>
    <row r="14" spans="1:16" ht="12.75" customHeight="1" thickBot="1">
      <c r="A14" s="14" t="str">
        <f t="shared" si="0"/>
        <v> PZ 9.145 </v>
      </c>
      <c r="B14" s="6" t="str">
        <f t="shared" si="1"/>
        <v>I</v>
      </c>
      <c r="C14" s="14">
        <f t="shared" si="2"/>
        <v>14784.4</v>
      </c>
      <c r="D14" s="20" t="str">
        <f t="shared" si="3"/>
        <v>vis</v>
      </c>
      <c r="E14" s="28">
        <f>VLOOKUP(C14,A!C$21:E$973,3,FALSE)</f>
        <v>-3149.0007684752863</v>
      </c>
      <c r="F14" s="6" t="s">
        <v>46</v>
      </c>
      <c r="G14" s="20" t="str">
        <f t="shared" si="4"/>
        <v>14784.40</v>
      </c>
      <c r="H14" s="14">
        <f t="shared" si="5"/>
        <v>-3149</v>
      </c>
      <c r="I14" s="29" t="s">
        <v>48</v>
      </c>
      <c r="J14" s="30" t="s">
        <v>49</v>
      </c>
      <c r="K14" s="29">
        <v>-3149</v>
      </c>
      <c r="L14" s="29" t="s">
        <v>50</v>
      </c>
      <c r="M14" s="30" t="s">
        <v>51</v>
      </c>
      <c r="N14" s="30"/>
      <c r="O14" s="31" t="s">
        <v>52</v>
      </c>
      <c r="P14" s="31" t="s">
        <v>53</v>
      </c>
    </row>
    <row r="15" spans="1:16" ht="12.75" customHeight="1" thickBot="1">
      <c r="A15" s="14" t="str">
        <f t="shared" si="0"/>
        <v> PZ 9.145 </v>
      </c>
      <c r="B15" s="6" t="str">
        <f t="shared" si="1"/>
        <v>I</v>
      </c>
      <c r="C15" s="14">
        <f t="shared" si="2"/>
        <v>15291.27</v>
      </c>
      <c r="D15" s="20" t="str">
        <f t="shared" si="3"/>
        <v>vis</v>
      </c>
      <c r="E15" s="28">
        <f>VLOOKUP(C15,A!C$21:E$973,3,FALSE)</f>
        <v>-3035.0068942376047</v>
      </c>
      <c r="F15" s="6" t="s">
        <v>46</v>
      </c>
      <c r="G15" s="20" t="str">
        <f t="shared" si="4"/>
        <v>15291.27</v>
      </c>
      <c r="H15" s="14">
        <f t="shared" si="5"/>
        <v>-3035</v>
      </c>
      <c r="I15" s="29" t="s">
        <v>54</v>
      </c>
      <c r="J15" s="30" t="s">
        <v>55</v>
      </c>
      <c r="K15" s="29">
        <v>-3035</v>
      </c>
      <c r="L15" s="29" t="s">
        <v>56</v>
      </c>
      <c r="M15" s="30" t="s">
        <v>51</v>
      </c>
      <c r="N15" s="30"/>
      <c r="O15" s="31" t="s">
        <v>52</v>
      </c>
      <c r="P15" s="31" t="s">
        <v>53</v>
      </c>
    </row>
    <row r="16" spans="1:16" ht="12.75" customHeight="1" thickBot="1">
      <c r="A16" s="14" t="str">
        <f t="shared" si="0"/>
        <v> PZ 9.145 </v>
      </c>
      <c r="B16" s="6" t="str">
        <f t="shared" si="1"/>
        <v>I</v>
      </c>
      <c r="C16" s="14">
        <f t="shared" si="2"/>
        <v>16736.38</v>
      </c>
      <c r="D16" s="20" t="str">
        <f t="shared" si="3"/>
        <v>vis</v>
      </c>
      <c r="E16" s="28">
        <f>VLOOKUP(C16,A!C$21:E$973,3,FALSE)</f>
        <v>-2710.005044454395</v>
      </c>
      <c r="F16" s="6" t="s">
        <v>46</v>
      </c>
      <c r="G16" s="20" t="str">
        <f t="shared" si="4"/>
        <v>16736.38</v>
      </c>
      <c r="H16" s="14">
        <f t="shared" si="5"/>
        <v>-2710</v>
      </c>
      <c r="I16" s="29" t="s">
        <v>57</v>
      </c>
      <c r="J16" s="30" t="s">
        <v>58</v>
      </c>
      <c r="K16" s="29">
        <v>-2710</v>
      </c>
      <c r="L16" s="29" t="s">
        <v>59</v>
      </c>
      <c r="M16" s="30" t="s">
        <v>51</v>
      </c>
      <c r="N16" s="30"/>
      <c r="O16" s="31" t="s">
        <v>52</v>
      </c>
      <c r="P16" s="31" t="s">
        <v>53</v>
      </c>
    </row>
    <row r="17" spans="1:16" ht="12.75" customHeight="1" thickBot="1">
      <c r="A17" s="14" t="str">
        <f t="shared" si="0"/>
        <v> PZ 5.206 </v>
      </c>
      <c r="B17" s="6" t="str">
        <f t="shared" si="1"/>
        <v>I</v>
      </c>
      <c r="C17" s="14">
        <f t="shared" si="2"/>
        <v>28408.41</v>
      </c>
      <c r="D17" s="20" t="str">
        <f t="shared" si="3"/>
        <v>vis</v>
      </c>
      <c r="E17" s="28">
        <f>VLOOKUP(C17,A!C$21:E$973,3,FALSE)</f>
        <v>-84.99287186883463</v>
      </c>
      <c r="F17" s="6" t="s">
        <v>46</v>
      </c>
      <c r="G17" s="20" t="str">
        <f t="shared" si="4"/>
        <v>28408.41</v>
      </c>
      <c r="H17" s="14">
        <f t="shared" si="5"/>
        <v>-85</v>
      </c>
      <c r="I17" s="29" t="s">
        <v>60</v>
      </c>
      <c r="J17" s="30" t="s">
        <v>61</v>
      </c>
      <c r="K17" s="29">
        <v>-85</v>
      </c>
      <c r="L17" s="29" t="s">
        <v>62</v>
      </c>
      <c r="M17" s="30" t="s">
        <v>51</v>
      </c>
      <c r="N17" s="30"/>
      <c r="O17" s="31" t="s">
        <v>63</v>
      </c>
      <c r="P17" s="31" t="s">
        <v>64</v>
      </c>
    </row>
    <row r="18" spans="1:16" ht="12.75" customHeight="1" thickBot="1">
      <c r="A18" s="14" t="str">
        <f t="shared" si="0"/>
        <v> PZ 5.206 </v>
      </c>
      <c r="B18" s="6" t="str">
        <f t="shared" si="1"/>
        <v>I</v>
      </c>
      <c r="C18" s="14">
        <f t="shared" si="2"/>
        <v>28759.48</v>
      </c>
      <c r="D18" s="20" t="str">
        <f t="shared" si="3"/>
        <v>vis</v>
      </c>
      <c r="E18" s="28">
        <f>VLOOKUP(C18,A!C$21:E$973,3,FALSE)</f>
        <v>-6.038052233380293</v>
      </c>
      <c r="F18" s="6" t="s">
        <v>46</v>
      </c>
      <c r="G18" s="20" t="str">
        <f t="shared" si="4"/>
        <v>28759.48</v>
      </c>
      <c r="H18" s="14">
        <f t="shared" si="5"/>
        <v>-6</v>
      </c>
      <c r="I18" s="29" t="s">
        <v>65</v>
      </c>
      <c r="J18" s="30" t="s">
        <v>66</v>
      </c>
      <c r="K18" s="29">
        <v>-6</v>
      </c>
      <c r="L18" s="29" t="s">
        <v>67</v>
      </c>
      <c r="M18" s="30" t="s">
        <v>51</v>
      </c>
      <c r="N18" s="30"/>
      <c r="O18" s="31" t="s">
        <v>63</v>
      </c>
      <c r="P18" s="31" t="s">
        <v>64</v>
      </c>
    </row>
    <row r="19" spans="1:16" ht="12.75" customHeight="1" thickBot="1">
      <c r="A19" s="14" t="str">
        <f t="shared" si="0"/>
        <v> PZ 5.206 </v>
      </c>
      <c r="B19" s="6" t="str">
        <f t="shared" si="1"/>
        <v>II</v>
      </c>
      <c r="C19" s="14">
        <f t="shared" si="2"/>
        <v>28789.34</v>
      </c>
      <c r="D19" s="20" t="str">
        <f t="shared" si="3"/>
        <v>vis</v>
      </c>
      <c r="E19" s="28">
        <f>VLOOKUP(C19,A!C$21:E$973,3,FALSE)</f>
        <v>0.6773917359554915</v>
      </c>
      <c r="F19" s="6" t="s">
        <v>46</v>
      </c>
      <c r="G19" s="20" t="str">
        <f t="shared" si="4"/>
        <v>28789.34</v>
      </c>
      <c r="H19" s="14">
        <f t="shared" si="5"/>
        <v>0.5</v>
      </c>
      <c r="I19" s="29" t="s">
        <v>68</v>
      </c>
      <c r="J19" s="30" t="s">
        <v>69</v>
      </c>
      <c r="K19" s="29">
        <v>0.5</v>
      </c>
      <c r="L19" s="29" t="s">
        <v>70</v>
      </c>
      <c r="M19" s="30" t="s">
        <v>51</v>
      </c>
      <c r="N19" s="30"/>
      <c r="O19" s="31" t="s">
        <v>63</v>
      </c>
      <c r="P19" s="31" t="s">
        <v>64</v>
      </c>
    </row>
    <row r="20" spans="1:16" ht="12.75" customHeight="1" thickBot="1">
      <c r="A20" s="14" t="str">
        <f t="shared" si="0"/>
        <v> PZ 9.145 </v>
      </c>
      <c r="B20" s="6" t="str">
        <f t="shared" si="1"/>
        <v>I</v>
      </c>
      <c r="C20" s="14">
        <f t="shared" si="2"/>
        <v>29582.26</v>
      </c>
      <c r="D20" s="20" t="str">
        <f t="shared" si="3"/>
        <v>vis</v>
      </c>
      <c r="E20" s="28">
        <f>VLOOKUP(C20,A!C$21:E$973,3,FALSE)</f>
        <v>179.0032401005106</v>
      </c>
      <c r="F20" s="6" t="s">
        <v>46</v>
      </c>
      <c r="G20" s="20" t="str">
        <f t="shared" si="4"/>
        <v>29582.26</v>
      </c>
      <c r="H20" s="14">
        <f t="shared" si="5"/>
        <v>179</v>
      </c>
      <c r="I20" s="29" t="s">
        <v>71</v>
      </c>
      <c r="J20" s="30" t="s">
        <v>72</v>
      </c>
      <c r="K20" s="29">
        <v>179</v>
      </c>
      <c r="L20" s="29" t="s">
        <v>73</v>
      </c>
      <c r="M20" s="30" t="s">
        <v>51</v>
      </c>
      <c r="N20" s="30"/>
      <c r="O20" s="31" t="s">
        <v>52</v>
      </c>
      <c r="P20" s="31" t="s">
        <v>53</v>
      </c>
    </row>
    <row r="21" spans="1:16" ht="12.75" customHeight="1" thickBot="1">
      <c r="A21" s="14" t="str">
        <f t="shared" si="0"/>
        <v> PZ 9.145 </v>
      </c>
      <c r="B21" s="6" t="str">
        <f t="shared" si="1"/>
        <v>I</v>
      </c>
      <c r="C21" s="14">
        <f t="shared" si="2"/>
        <v>32850.36</v>
      </c>
      <c r="D21" s="20" t="str">
        <f t="shared" si="3"/>
        <v>vis</v>
      </c>
      <c r="E21" s="28">
        <f>VLOOKUP(C21,A!C$21:E$973,3,FALSE)</f>
        <v>913.9912654248866</v>
      </c>
      <c r="F21" s="6" t="s">
        <v>46</v>
      </c>
      <c r="G21" s="20" t="str">
        <f t="shared" si="4"/>
        <v>32850.36</v>
      </c>
      <c r="H21" s="14">
        <f t="shared" si="5"/>
        <v>914</v>
      </c>
      <c r="I21" s="29" t="s">
        <v>74</v>
      </c>
      <c r="J21" s="30" t="s">
        <v>75</v>
      </c>
      <c r="K21" s="29">
        <v>914</v>
      </c>
      <c r="L21" s="29" t="s">
        <v>76</v>
      </c>
      <c r="M21" s="30" t="s">
        <v>51</v>
      </c>
      <c r="N21" s="30"/>
      <c r="O21" s="31" t="s">
        <v>52</v>
      </c>
      <c r="P21" s="31" t="s">
        <v>53</v>
      </c>
    </row>
    <row r="22" spans="1:16" ht="12.75" customHeight="1" thickBot="1">
      <c r="A22" s="14" t="str">
        <f t="shared" si="0"/>
        <v> PZ 9.145 </v>
      </c>
      <c r="B22" s="6" t="str">
        <f t="shared" si="1"/>
        <v>I</v>
      </c>
      <c r="C22" s="14">
        <f t="shared" si="2"/>
        <v>33895.35</v>
      </c>
      <c r="D22" s="20" t="str">
        <f t="shared" si="3"/>
        <v>vis</v>
      </c>
      <c r="E22" s="28">
        <f>VLOOKUP(C22,A!C$21:E$973,3,FALSE)</f>
        <v>1149.007065609617</v>
      </c>
      <c r="F22" s="6" t="s">
        <v>46</v>
      </c>
      <c r="G22" s="20" t="str">
        <f t="shared" si="4"/>
        <v>33895.35</v>
      </c>
      <c r="H22" s="14">
        <f t="shared" si="5"/>
        <v>1149</v>
      </c>
      <c r="I22" s="29" t="s">
        <v>77</v>
      </c>
      <c r="J22" s="30" t="s">
        <v>78</v>
      </c>
      <c r="K22" s="29">
        <v>1149</v>
      </c>
      <c r="L22" s="29" t="s">
        <v>62</v>
      </c>
      <c r="M22" s="30" t="s">
        <v>51</v>
      </c>
      <c r="N22" s="30"/>
      <c r="O22" s="31" t="s">
        <v>52</v>
      </c>
      <c r="P22" s="31" t="s">
        <v>53</v>
      </c>
    </row>
    <row r="23" spans="1:16" ht="12.75" customHeight="1" thickBot="1">
      <c r="A23" s="14" t="str">
        <f t="shared" si="0"/>
        <v> BRNO 30 </v>
      </c>
      <c r="B23" s="6" t="str">
        <f t="shared" si="1"/>
        <v>I</v>
      </c>
      <c r="C23" s="14">
        <f t="shared" si="2"/>
        <v>47030.407</v>
      </c>
      <c r="D23" s="20" t="str">
        <f t="shared" si="3"/>
        <v>vis</v>
      </c>
      <c r="E23" s="28">
        <f>VLOOKUP(C23,A!C$21:E$973,3,FALSE)</f>
        <v>4103.050579257644</v>
      </c>
      <c r="F23" s="6" t="s">
        <v>46</v>
      </c>
      <c r="G23" s="20" t="str">
        <f t="shared" si="4"/>
        <v>47030.407</v>
      </c>
      <c r="H23" s="14">
        <f t="shared" si="5"/>
        <v>4103</v>
      </c>
      <c r="I23" s="29" t="s">
        <v>79</v>
      </c>
      <c r="J23" s="30" t="s">
        <v>80</v>
      </c>
      <c r="K23" s="29">
        <v>4103</v>
      </c>
      <c r="L23" s="29" t="s">
        <v>81</v>
      </c>
      <c r="M23" s="30" t="s">
        <v>82</v>
      </c>
      <c r="N23" s="30"/>
      <c r="O23" s="31" t="s">
        <v>83</v>
      </c>
      <c r="P23" s="31" t="s">
        <v>84</v>
      </c>
    </row>
    <row r="24" spans="1:16" ht="12.75" customHeight="1" thickBot="1">
      <c r="A24" s="14" t="str">
        <f t="shared" si="0"/>
        <v> BRNO 30 </v>
      </c>
      <c r="B24" s="6" t="str">
        <f t="shared" si="1"/>
        <v>I</v>
      </c>
      <c r="C24" s="14">
        <f t="shared" si="2"/>
        <v>47030.415</v>
      </c>
      <c r="D24" s="20" t="str">
        <f t="shared" si="3"/>
        <v>vis</v>
      </c>
      <c r="E24" s="28">
        <f>VLOOKUP(C24,A!C$21:E$973,3,FALSE)</f>
        <v>4103.0523784388815</v>
      </c>
      <c r="F24" s="6" t="s">
        <v>46</v>
      </c>
      <c r="G24" s="20" t="str">
        <f t="shared" si="4"/>
        <v>47030.415</v>
      </c>
      <c r="H24" s="14">
        <f t="shared" si="5"/>
        <v>4103</v>
      </c>
      <c r="I24" s="29" t="s">
        <v>85</v>
      </c>
      <c r="J24" s="30" t="s">
        <v>86</v>
      </c>
      <c r="K24" s="29">
        <v>4103</v>
      </c>
      <c r="L24" s="29" t="s">
        <v>87</v>
      </c>
      <c r="M24" s="30" t="s">
        <v>82</v>
      </c>
      <c r="N24" s="30"/>
      <c r="O24" s="31" t="s">
        <v>88</v>
      </c>
      <c r="P24" s="31" t="s">
        <v>84</v>
      </c>
    </row>
    <row r="25" spans="1:16" ht="12.75" customHeight="1" thickBot="1">
      <c r="A25" s="14" t="str">
        <f t="shared" si="0"/>
        <v>BAVM 203 </v>
      </c>
      <c r="B25" s="6" t="str">
        <f t="shared" si="1"/>
        <v>I</v>
      </c>
      <c r="C25" s="14">
        <f t="shared" si="2"/>
        <v>54282.6785</v>
      </c>
      <c r="D25" s="20" t="str">
        <f t="shared" si="3"/>
        <v>vis</v>
      </c>
      <c r="E25" s="28">
        <f>VLOOKUP(C25,A!C$21:E$973,3,FALSE)</f>
        <v>5734.069430853754</v>
      </c>
      <c r="F25" s="6" t="s">
        <v>46</v>
      </c>
      <c r="G25" s="20" t="str">
        <f t="shared" si="4"/>
        <v>54282.6785</v>
      </c>
      <c r="H25" s="14">
        <f t="shared" si="5"/>
        <v>5734</v>
      </c>
      <c r="I25" s="29" t="s">
        <v>101</v>
      </c>
      <c r="J25" s="30" t="s">
        <v>102</v>
      </c>
      <c r="K25" s="29">
        <v>5734</v>
      </c>
      <c r="L25" s="29" t="s">
        <v>103</v>
      </c>
      <c r="M25" s="30" t="s">
        <v>104</v>
      </c>
      <c r="N25" s="30" t="s">
        <v>105</v>
      </c>
      <c r="O25" s="31" t="s">
        <v>106</v>
      </c>
      <c r="P25" s="32" t="s">
        <v>107</v>
      </c>
    </row>
    <row r="26" spans="1:16" ht="12.75" customHeight="1" thickBot="1">
      <c r="A26" s="14" t="str">
        <f t="shared" si="0"/>
        <v>BAVM 193 </v>
      </c>
      <c r="B26" s="6" t="str">
        <f t="shared" si="1"/>
        <v>I</v>
      </c>
      <c r="C26" s="14">
        <f t="shared" si="2"/>
        <v>54389.3947</v>
      </c>
      <c r="D26" s="20" t="str">
        <f t="shared" si="3"/>
        <v>vis</v>
      </c>
      <c r="E26" s="28">
        <f>VLOOKUP(C26,A!C$21:E$973,3,FALSE)</f>
        <v>5758.069653952227</v>
      </c>
      <c r="F26" s="6" t="s">
        <v>46</v>
      </c>
      <c r="G26" s="20" t="str">
        <f t="shared" si="4"/>
        <v>54389.3947</v>
      </c>
      <c r="H26" s="14">
        <f t="shared" si="5"/>
        <v>5758</v>
      </c>
      <c r="I26" s="29" t="s">
        <v>108</v>
      </c>
      <c r="J26" s="30" t="s">
        <v>109</v>
      </c>
      <c r="K26" s="29" t="s">
        <v>110</v>
      </c>
      <c r="L26" s="29" t="s">
        <v>111</v>
      </c>
      <c r="M26" s="30" t="s">
        <v>104</v>
      </c>
      <c r="N26" s="30" t="s">
        <v>98</v>
      </c>
      <c r="O26" s="31" t="s">
        <v>112</v>
      </c>
      <c r="P26" s="32" t="s">
        <v>113</v>
      </c>
    </row>
    <row r="27" spans="1:16" ht="12.75" customHeight="1" thickBot="1">
      <c r="A27" s="14" t="str">
        <f t="shared" si="0"/>
        <v>BAVM 203 </v>
      </c>
      <c r="B27" s="6" t="str">
        <f t="shared" si="1"/>
        <v>I</v>
      </c>
      <c r="C27" s="14">
        <f t="shared" si="2"/>
        <v>54798.4741</v>
      </c>
      <c r="D27" s="20" t="str">
        <f t="shared" si="3"/>
        <v>vis</v>
      </c>
      <c r="E27" s="28">
        <f>VLOOKUP(C27,A!C$21:E$973,3,FALSE)</f>
        <v>5850.070651598223</v>
      </c>
      <c r="F27" s="6" t="s">
        <v>46</v>
      </c>
      <c r="G27" s="20" t="str">
        <f t="shared" si="4"/>
        <v>54798.4741</v>
      </c>
      <c r="H27" s="14">
        <f t="shared" si="5"/>
        <v>5850</v>
      </c>
      <c r="I27" s="29" t="s">
        <v>114</v>
      </c>
      <c r="J27" s="30" t="s">
        <v>115</v>
      </c>
      <c r="K27" s="29" t="s">
        <v>116</v>
      </c>
      <c r="L27" s="29" t="s">
        <v>117</v>
      </c>
      <c r="M27" s="30" t="s">
        <v>104</v>
      </c>
      <c r="N27" s="30" t="s">
        <v>105</v>
      </c>
      <c r="O27" s="31" t="s">
        <v>106</v>
      </c>
      <c r="P27" s="32" t="s">
        <v>107</v>
      </c>
    </row>
    <row r="28" spans="2:6" ht="12.75">
      <c r="B28" s="6"/>
      <c r="E28" s="28"/>
      <c r="F28" s="6"/>
    </row>
    <row r="29" spans="2:6" ht="12.75">
      <c r="B29" s="6"/>
      <c r="E29" s="28"/>
      <c r="F29" s="6"/>
    </row>
    <row r="30" spans="2:6" ht="12.75">
      <c r="B30" s="6"/>
      <c r="E30" s="28"/>
      <c r="F30" s="6"/>
    </row>
    <row r="31" spans="2:6" ht="12.75">
      <c r="B31" s="6"/>
      <c r="E31" s="28"/>
      <c r="F31" s="6"/>
    </row>
    <row r="32" spans="2:6" ht="12.75">
      <c r="B32" s="6"/>
      <c r="E32" s="28"/>
      <c r="F32" s="6"/>
    </row>
    <row r="33" spans="2:6" ht="12.75">
      <c r="B33" s="6"/>
      <c r="E33" s="28"/>
      <c r="F33" s="6"/>
    </row>
    <row r="34" spans="2:6" ht="12.75">
      <c r="B34" s="6"/>
      <c r="E34" s="28"/>
      <c r="F34" s="6"/>
    </row>
    <row r="35" spans="2:6" ht="12.75">
      <c r="B35" s="6"/>
      <c r="E35" s="28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</sheetData>
  <sheetProtection/>
  <hyperlinks>
    <hyperlink ref="P12" r:id="rId1" display="http://www.bav-astro.de/sfs/BAVM_link.php?BAVMnr=132"/>
    <hyperlink ref="P25" r:id="rId2" display="http://www.bav-astro.de/sfs/BAVM_link.php?BAVMnr=203"/>
    <hyperlink ref="P26" r:id="rId3" display="http://www.bav-astro.de/sfs/BAVM_link.php?BAVMnr=193"/>
    <hyperlink ref="P27" r:id="rId4" display="http://www.bav-astro.de/sfs/BAVM_link.php?BAVMnr=203"/>
    <hyperlink ref="P13" r:id="rId5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