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5" windowWidth="826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<sst xmlns="http://schemas.openxmlformats.org/spreadsheetml/2006/main" count="188" uniqueCount="130">
  <si>
    <t>0.0002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</si>
  <si>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</si>
  <si>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</si>
  <si>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</si>
  <si>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</si>
  <si>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</si>
  <si>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</si>
  <si>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</si>
  <si>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</si>
  <si>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</si>
  <si>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</si>
  <si>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</si>
  <si>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</si>
  <si>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</si>
  <si>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</si>
  <si>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</si>
  <si>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</si>
  <si>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</si>
  <si>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</si>
  <si>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</si>
  <si>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</si>
  <si>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</si>
  <si>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</si>
  <si>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</si>
  <si>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</si>
  <si>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</si>
  <si>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</si>
  <si>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</si>
  <si>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</si>
  <si>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</si>
  <si>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EW/KW</t>
  </si>
  <si>
    <t>IBVS 5371</t>
  </si>
  <si>
    <t>II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</si>
  <si>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</si>
  <si>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</si>
  <si>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</si>
  <si>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</si>
  <si>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</si>
  <si>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</si>
  <si>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</si>
  <si>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</si>
  <si>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</si>
  <si>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Start of linear fit &gt;&gt;&gt;&gt;&gt;&gt;&gt;&gt;&gt;&gt;&gt;&gt;&gt;&gt;&gt;&gt;&gt;&gt;&gt;&gt;&gt;</t>
  </si>
  <si>
    <t>IBVS 5874</t>
  </si>
  <si>
    <t>Add cycle</t>
  </si>
  <si>
    <t>Old Cycle</t>
  </si>
  <si>
    <t>IBVS 6010</t>
  </si>
  <si>
    <t>V0874 Cyg / GSC 02137-02491</t>
  </si>
  <si>
    <t>OEJV 0160</t>
  </si>
  <si>
    <t>IBVS 6070</t>
  </si>
  <si>
    <t>BAD?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</si>
  <si>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</si>
  <si>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</si>
  <si>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</si>
  <si>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</si>
  <si>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</si>
  <si>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</si>
  <si>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</si>
  <si>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</si>
  <si>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</si>
  <si>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</si>
  <si>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</si>
  <si>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</si>
  <si>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</si>
  <si>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2451811.4679 </t>
  </si>
  <si>
    <t> 23.09.2000 23:13 </t>
  </si>
  <si>
    <t> 0.0217 </t>
  </si>
  <si>
    <t>E </t>
  </si>
  <si>
    <t>?</t>
  </si>
  <si>
    <t> E.Blättler </t>
  </si>
  <si>
    <t> BBS 124 </t>
  </si>
  <si>
    <t>2452859.772 </t>
  </si>
  <si>
    <t> 08.08.2003 06:31 </t>
  </si>
  <si>
    <t> -0.018 </t>
  </si>
  <si>
    <t> R.Nelson </t>
  </si>
  <si>
    <t>IBVS 5493 </t>
  </si>
  <si>
    <t>2452862.737 </t>
  </si>
  <si>
    <t> 11.08.2003 05:41 </t>
  </si>
  <si>
    <t> -0.011 </t>
  </si>
  <si>
    <t>2453613.3919 </t>
  </si>
  <si>
    <t> 30.08.2005 21:24 </t>
  </si>
  <si>
    <t> 0.0460 </t>
  </si>
  <si>
    <t>C </t>
  </si>
  <si>
    <t>-I</t>
  </si>
  <si>
    <t> F.Agerer </t>
  </si>
  <si>
    <t>BAVM 178 </t>
  </si>
  <si>
    <t>2453934.4021 </t>
  </si>
  <si>
    <t> 17.07.2006 21:39 </t>
  </si>
  <si>
    <t>45493.5</t>
  </si>
  <si>
    <t> 0.0658 </t>
  </si>
  <si>
    <t> F. Agerer </t>
  </si>
  <si>
    <t>BAVM 183 </t>
  </si>
  <si>
    <t>2454631.5245 </t>
  </si>
  <si>
    <t> 14.06.2008 00:35 </t>
  </si>
  <si>
    <t>47143</t>
  </si>
  <si>
    <t> 0.0536 </t>
  </si>
  <si>
    <t>BAVM 201 </t>
  </si>
  <si>
    <t>2454708.4230 </t>
  </si>
  <si>
    <t> 29.08.2008 22:09 </t>
  </si>
  <si>
    <t>47325</t>
  </si>
  <si>
    <t> 0.0327 </t>
  </si>
  <si>
    <t>o</t>
  </si>
  <si>
    <t> U.Schmidt </t>
  </si>
  <si>
    <t>BAVM 203 </t>
  </si>
  <si>
    <t>2455451.4064 </t>
  </si>
  <si>
    <t> 11.09.2010 21:45 </t>
  </si>
  <si>
    <t>49083</t>
  </si>
  <si>
    <t> 0.0257 </t>
  </si>
  <si>
    <t>BAVM 215 </t>
  </si>
  <si>
    <t>2455712.4317 </t>
  </si>
  <si>
    <t> 30.05.2011 22:21 </t>
  </si>
  <si>
    <t>49700.5</t>
  </si>
  <si>
    <t> 0.0746 </t>
  </si>
  <si>
    <t>BAVM 220 </t>
  </si>
  <si>
    <t>2455831.35107 </t>
  </si>
  <si>
    <t> 26.09.2011 20:25 </t>
  </si>
  <si>
    <t>49982</t>
  </si>
  <si>
    <t> 0.02248 </t>
  </si>
  <si>
    <t> J.Trnka </t>
  </si>
  <si>
    <t>OEJV 0160 </t>
  </si>
  <si>
    <t>2456074.4202 </t>
  </si>
  <si>
    <t> 26.05.2012 22:05 </t>
  </si>
  <si>
    <t>50557</t>
  </si>
  <si>
    <t> 0.0771 </t>
  </si>
  <si>
    <t>BAVM 231 </t>
  </si>
  <si>
    <t>2456897.4245 </t>
  </si>
  <si>
    <t> 27.08.2014 22:11 </t>
  </si>
  <si>
    <t>52504.5</t>
  </si>
  <si>
    <t> 0.0019 </t>
  </si>
  <si>
    <t>BAVM 238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</si>
</sst>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33" fillId="0" borderId="0" xfId="61" applyFont="1" applyAlignment="1">
      <alignment wrapText="1"/>
      <protection/>
    </xf>
    <xf numFmtId="0" fontId="33" fillId="0" borderId="0" xfId="61" applyFont="1" applyAlignment="1">
      <alignment horizontal="center" wrapText="1"/>
      <protection/>
    </xf>
    <xf numFmtId="0" fontId="33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V874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45"/>
          <c:w val="0.905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0.0003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0.002</c:v>
                  </c:pt>
                  <c:pt idx="8">
                    <c:v>0.0022</c:v>
                  </c:pt>
                  <c:pt idx="9">
                    <c:v>0.0001</c:v>
                  </c:pt>
                  <c:pt idx="10">
                    <c:v>0.0024</c:v>
                  </c:pt>
                  <c:pt idx="11">
                    <c:v>0.0016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6446519"/>
        <c:axId val="8260428"/>
      </c:scatterChart>
      <c:valAx>
        <c:axId val="26446519"/>
        <c:scaling>
          <c:orientation val="minMax"/>
          <c:min val="5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0428"/>
        <c:crosses val="autoZero"/>
        <c:crossBetween val="midCat"/>
        <c:dispUnits/>
      </c:valAx>
      <c:valAx>
        <c:axId val="8260428"/>
        <c:scaling>
          <c:orientation val="minMax"/>
          <c:max val="0.08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65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8"/>
          <c:y val="0.931"/>
          <c:w val="0.785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V874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425"/>
          <c:w val="0.9047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0.0003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0.002</c:v>
                  </c:pt>
                  <c:pt idx="8">
                    <c:v>0.0022</c:v>
                  </c:pt>
                  <c:pt idx="9">
                    <c:v>0.0001</c:v>
                  </c:pt>
                  <c:pt idx="10">
                    <c:v>0.0024</c:v>
                  </c:pt>
                  <c:pt idx="11">
                    <c:v>0.0016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0.0001</c:v>
                  </c:pt>
                  <c:pt idx="4">
                    <c:v>0.0018</c:v>
                  </c:pt>
                  <c:pt idx="5">
                    <c:v>0.0003</c:v>
                  </c:pt>
                  <c:pt idx="6">
                    <c:v>0.0011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0.0022</c:v>
                  </c:pt>
                  <c:pt idx="10">
                    <c:v>0.0001</c:v>
                  </c:pt>
                  <c:pt idx="11">
                    <c:v>0.0024</c:v>
                  </c:pt>
                  <c:pt idx="12">
                    <c:v>0.0016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0276701"/>
        <c:axId val="53835066"/>
      </c:scatterChart>
      <c:valAx>
        <c:axId val="4027670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5066"/>
        <c:crosses val="autoZero"/>
        <c:crossBetween val="midCat"/>
        <c:dispUnits/>
      </c:valAx>
      <c:valAx>
        <c:axId val="53835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767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93125"/>
          <c:w val="0.79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16</xdr:col>
      <xdr:colOff>304800</xdr:colOff>
      <xdr:row>18</xdr:row>
      <xdr:rowOff>38100</xdr:rowOff>
    </xdr:to>
    <xdr:graphicFrame>
      <xdr:nvGraphicFramePr>
        <xdr:cNvPr id="1" name="Chart 1026"/>
        <xdr:cNvGraphicFramePr/>
      </xdr:nvGraphicFramePr>
      <xdr:xfrm>
        <a:off x="4533900" y="0"/>
        <a:ext cx="5810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438150</xdr:colOff>
      <xdr:row>0</xdr:row>
      <xdr:rowOff>19050</xdr:rowOff>
    </xdr:from>
    <xdr:to>
      <xdr:col>26</xdr:col>
      <xdr:colOff>85725</xdr:colOff>
      <xdr:row>18</xdr:row>
      <xdr:rowOff>66675</xdr:rowOff>
    </xdr:to>
    <xdr:graphicFrame>
      <xdr:nvGraphicFramePr>
        <xdr:cNvPr id="2" name="Chart 1027"/>
        <xdr:cNvGraphicFramePr/>
      </xdr:nvGraphicFramePr>
      <xdr:xfrm>
        <a:off x="11134725" y="19050"/>
        <a:ext cx="57435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493" TargetMode="External" /><Relationship Id="rId2" Type="http://schemas.openxmlformats.org/officeDocument/2006/relationships/hyperlink" Target="http://www.konkoly.hu/cgi-bin/IBVS?5493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bav-astro.de/sfs/BAVM_link.php?BAVMnr=183" TargetMode="External" /><Relationship Id="rId5" Type="http://schemas.openxmlformats.org/officeDocument/2006/relationships/hyperlink" Target="http://www.bav-astro.de/sfs/BAVM_link.php?BAVMnr=201" TargetMode="External" /><Relationship Id="rId6" Type="http://schemas.openxmlformats.org/officeDocument/2006/relationships/hyperlink" Target="http://www.bav-astro.de/sfs/BAVM_link.php?BAVMnr=203" TargetMode="External" /><Relationship Id="rId7" Type="http://schemas.openxmlformats.org/officeDocument/2006/relationships/hyperlink" Target="http://www.bav-astro.de/sfs/BAVM_link.php?BAVMnr=215" TargetMode="External" /><Relationship Id="rId8" Type="http://schemas.openxmlformats.org/officeDocument/2006/relationships/hyperlink" Target="http://www.bav-astro.de/sfs/BAVM_link.php?BAVMnr=220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www.bav-astro.de/sfs/BAVM_link.php?BAVMnr=231" TargetMode="External" /><Relationship Id="rId11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8" width="8.421875" style="0" customWidth="1"/>
    <col min="9" max="9" width="7.8515625" style="0" customWidth="1"/>
    <col min="10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47</v>
      </c>
    </row>
    <row r="2" spans="1:2" ht="12.75">
      <c r="A2" t="s">
        <v>26</v>
      </c>
      <c r="B2" t="s">
        <v>30</v>
      </c>
    </row>
    <row r="3" ht="13.5" thickBot="1"/>
    <row r="4" spans="1:4" ht="14.25" thickBot="1" thickTop="1">
      <c r="A4" s="7" t="s">
        <v>2</v>
      </c>
      <c r="C4" s="3">
        <v>34707.241</v>
      </c>
      <c r="D4" s="4">
        <v>0.4226339</v>
      </c>
    </row>
    <row r="5" spans="1:4" ht="13.5" thickTop="1">
      <c r="A5" s="14" t="s">
        <v>35</v>
      </c>
      <c r="B5" s="12"/>
      <c r="C5" s="15">
        <v>-9.5</v>
      </c>
      <c r="D5" s="12" t="s">
        <v>36</v>
      </c>
    </row>
    <row r="6" ht="12.75">
      <c r="A6" s="7" t="s">
        <v>3</v>
      </c>
    </row>
    <row r="7" spans="1:3" ht="12.75">
      <c r="A7" t="s">
        <v>4</v>
      </c>
      <c r="C7">
        <f>+C4</f>
        <v>34707.241</v>
      </c>
    </row>
    <row r="8" spans="1:4" ht="12.75">
      <c r="A8" t="s">
        <v>5</v>
      </c>
      <c r="C8" s="13">
        <v>0.3487343574126821</v>
      </c>
      <c r="D8" s="10"/>
    </row>
    <row r="9" spans="1:4" ht="12.75">
      <c r="A9" s="27" t="s">
        <v>42</v>
      </c>
      <c r="B9" s="28">
        <v>22</v>
      </c>
      <c r="C9" s="26" t="str">
        <f>"F"&amp;B9</f>
        <v>F22</v>
      </c>
      <c r="D9" s="10" t="str">
        <f>"G"&amp;B9</f>
        <v>G22</v>
      </c>
    </row>
    <row r="10" spans="1:5" ht="13.5" thickBot="1">
      <c r="A10" s="12"/>
      <c r="B10" s="12"/>
      <c r="C10" s="6" t="s">
        <v>22</v>
      </c>
      <c r="D10" s="6" t="s">
        <v>23</v>
      </c>
      <c r="E10" s="12"/>
    </row>
    <row r="11" spans="1:5" ht="12.75">
      <c r="A11" s="12" t="s">
        <v>18</v>
      </c>
      <c r="B11" s="12"/>
      <c r="C11" s="25">
        <f ca="1">INTERCEPT(INDIRECT($D$9):G991,INDIRECT($C$9):F991)</f>
        <v>-0.058691756696426824</v>
      </c>
      <c r="D11" s="5"/>
      <c r="E11" s="12"/>
    </row>
    <row r="12" spans="1:5" ht="12.75">
      <c r="A12" s="12" t="s">
        <v>19</v>
      </c>
      <c r="B12" s="12"/>
      <c r="C12" s="25">
        <f ca="1">SLOPE(INDIRECT($D$9):G991,INDIRECT($C$9):F991)</f>
        <v>1.8038849346804624E-06</v>
      </c>
      <c r="D12" s="5"/>
      <c r="E12" s="12"/>
    </row>
    <row r="13" spans="1:3" ht="12.75">
      <c r="A13" s="12" t="s">
        <v>21</v>
      </c>
      <c r="B13" s="12"/>
      <c r="C13" s="5" t="s">
        <v>16</v>
      </c>
    </row>
    <row r="14" spans="1:3" ht="12.75">
      <c r="A14" s="12"/>
      <c r="B14" s="12"/>
      <c r="C14" s="12"/>
    </row>
    <row r="15" spans="1:6" ht="12.75">
      <c r="A15" s="16" t="s">
        <v>20</v>
      </c>
      <c r="B15" s="12"/>
      <c r="C15" s="17">
        <f>(C7+C11)+(C8+C12)*INT(MAX(F21:F3532))</f>
        <v>57562.304111205216</v>
      </c>
      <c r="E15" s="18" t="s">
        <v>44</v>
      </c>
      <c r="F15" s="15">
        <v>1</v>
      </c>
    </row>
    <row r="16" spans="1:6" ht="12.75">
      <c r="A16" s="20" t="s">
        <v>6</v>
      </c>
      <c r="B16" s="12"/>
      <c r="C16" s="21">
        <f>+C8+C12</f>
        <v>0.3487361612976168</v>
      </c>
      <c r="E16" s="18" t="s">
        <v>37</v>
      </c>
      <c r="F16" s="19">
        <f ca="1">NOW()+15018.5+$C$5/24</f>
        <v>59896.82115532407</v>
      </c>
    </row>
    <row r="17" spans="1:6" ht="13.5" thickBot="1">
      <c r="A17" s="18" t="s">
        <v>33</v>
      </c>
      <c r="B17" s="12"/>
      <c r="C17" s="12">
        <f>COUNT(C21:C2190)</f>
        <v>14</v>
      </c>
      <c r="E17" s="18" t="s">
        <v>45</v>
      </c>
      <c r="F17" s="19">
        <f>ROUND(2*(F16-$C$7)/$C$8,0)/2+F15</f>
        <v>72232.5</v>
      </c>
    </row>
    <row r="18" spans="1:6" ht="14.25" thickBot="1" thickTop="1">
      <c r="A18" s="20" t="s">
        <v>7</v>
      </c>
      <c r="B18" s="12"/>
      <c r="C18" s="23">
        <f>+C15</f>
        <v>57562.304111205216</v>
      </c>
      <c r="D18" s="24">
        <f>+C16</f>
        <v>0.3487361612976168</v>
      </c>
      <c r="E18" s="18" t="s">
        <v>38</v>
      </c>
      <c r="F18" s="10">
        <f>ROUND(2*(F16-$C$15)/$C$16,0)/2+F15</f>
        <v>6695</v>
      </c>
    </row>
    <row r="19" spans="5:6" ht="13.5" thickTop="1">
      <c r="E19" s="18" t="s">
        <v>39</v>
      </c>
      <c r="F19" s="22">
        <f>+$C$15+$C$16*F18-15018.5-$C$5/24</f>
        <v>44878.988544426094</v>
      </c>
    </row>
    <row r="20" spans="1:21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60</v>
      </c>
      <c r="I20" s="9" t="s">
        <v>63</v>
      </c>
      <c r="J20" s="9" t="s">
        <v>57</v>
      </c>
      <c r="K20" s="9" t="s">
        <v>55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17</v>
      </c>
      <c r="U20" s="36" t="s">
        <v>50</v>
      </c>
    </row>
    <row r="21" spans="1:21" ht="12.75">
      <c r="A21" t="s">
        <v>14</v>
      </c>
      <c r="B21" s="5"/>
      <c r="C21" s="13">
        <v>34707.241</v>
      </c>
      <c r="D21" s="13" t="s">
        <v>16</v>
      </c>
      <c r="E21">
        <f aca="true" t="shared" si="0" ref="E21:E33">+(C21-C$7)/C$8</f>
        <v>0</v>
      </c>
      <c r="F21">
        <f aca="true" t="shared" si="1" ref="F21:F34">ROUND(2*E21,0)/2</f>
        <v>0</v>
      </c>
      <c r="G21" s="11">
        <f aca="true" t="shared" si="2" ref="G21:G32">+C21-(C$7+F21*C$8)</f>
        <v>0</v>
      </c>
      <c r="H21" s="10">
        <f>G21</f>
        <v>0</v>
      </c>
      <c r="O21">
        <f aca="true" t="shared" si="3" ref="O21:O33">+C$11+C$12*F21</f>
        <v>-0.058691756696426824</v>
      </c>
      <c r="Q21" s="2">
        <f aca="true" t="shared" si="4" ref="Q21:Q33">+C21-15018.5</f>
        <v>19688.741</v>
      </c>
      <c r="U21" s="37"/>
    </row>
    <row r="22" spans="1:17" ht="12.75">
      <c r="A22" s="53" t="s">
        <v>70</v>
      </c>
      <c r="B22" s="54" t="s">
        <v>32</v>
      </c>
      <c r="C22" s="55">
        <v>51811.4679</v>
      </c>
      <c r="D22" s="55" t="s">
        <v>63</v>
      </c>
      <c r="E22">
        <f t="shared" si="0"/>
        <v>49046.57810861852</v>
      </c>
      <c r="F22">
        <f t="shared" si="1"/>
        <v>49046.5</v>
      </c>
      <c r="G22" s="11">
        <f t="shared" si="2"/>
        <v>0.027239158887823578</v>
      </c>
      <c r="K22">
        <f>G22</f>
        <v>0.027239158887823578</v>
      </c>
      <c r="O22">
        <f t="shared" si="3"/>
        <v>0.02978248575237847</v>
      </c>
      <c r="Q22" s="2">
        <f t="shared" si="4"/>
        <v>36792.9679</v>
      </c>
    </row>
    <row r="23" spans="1:21" ht="12.75">
      <c r="A23" s="7" t="s">
        <v>31</v>
      </c>
      <c r="B23" s="5" t="s">
        <v>32</v>
      </c>
      <c r="C23" s="13">
        <v>52859.77150404305</v>
      </c>
      <c r="D23" s="13">
        <v>0.001</v>
      </c>
      <c r="E23">
        <f t="shared" si="0"/>
        <v>52052.601409048635</v>
      </c>
      <c r="F23">
        <f t="shared" si="1"/>
        <v>52052.5</v>
      </c>
      <c r="G23" s="11">
        <f t="shared" si="2"/>
        <v>0.03536481941409875</v>
      </c>
      <c r="K23">
        <f>+G23</f>
        <v>0.03536481941409875</v>
      </c>
      <c r="O23">
        <f t="shared" si="3"/>
        <v>0.03520496386602794</v>
      </c>
      <c r="Q23" s="2">
        <f t="shared" si="4"/>
        <v>37841.27150404305</v>
      </c>
      <c r="U23" s="37"/>
    </row>
    <row r="24" spans="1:21" ht="12.75">
      <c r="A24" s="7" t="s">
        <v>31</v>
      </c>
      <c r="B24" s="5" t="s">
        <v>32</v>
      </c>
      <c r="C24" s="13">
        <v>52862.737</v>
      </c>
      <c r="D24" s="13">
        <v>0.0001</v>
      </c>
      <c r="E24">
        <f t="shared" si="0"/>
        <v>52061.10500467642</v>
      </c>
      <c r="F24">
        <f t="shared" si="1"/>
        <v>52061</v>
      </c>
      <c r="G24" s="11">
        <f t="shared" si="2"/>
        <v>0.036618738355173264</v>
      </c>
      <c r="K24">
        <f>G24</f>
        <v>0.036618738355173264</v>
      </c>
      <c r="O24">
        <f t="shared" si="3"/>
        <v>0.03522029688797273</v>
      </c>
      <c r="Q24" s="2">
        <f t="shared" si="4"/>
        <v>37844.237</v>
      </c>
      <c r="U24" s="37"/>
    </row>
    <row r="25" spans="1:21" ht="12.75">
      <c r="A25" s="29" t="s">
        <v>34</v>
      </c>
      <c r="B25" s="30"/>
      <c r="C25" s="31">
        <v>53613.3919</v>
      </c>
      <c r="D25" s="31">
        <v>0.0018</v>
      </c>
      <c r="E25">
        <f t="shared" si="0"/>
        <v>54213.617035808755</v>
      </c>
      <c r="F25">
        <f t="shared" si="1"/>
        <v>54213.5</v>
      </c>
      <c r="G25" s="11">
        <f t="shared" si="2"/>
        <v>0.04081440756272059</v>
      </c>
      <c r="J25">
        <f>G25</f>
        <v>0.04081440756272059</v>
      </c>
      <c r="O25">
        <f t="shared" si="3"/>
        <v>0.03910315920987243</v>
      </c>
      <c r="Q25" s="2">
        <f t="shared" si="4"/>
        <v>38594.8919</v>
      </c>
      <c r="U25" s="37"/>
    </row>
    <row r="26" spans="1:21" ht="12.75">
      <c r="A26" s="29" t="s">
        <v>40</v>
      </c>
      <c r="B26" s="32" t="s">
        <v>41</v>
      </c>
      <c r="C26" s="31">
        <v>53934.4021</v>
      </c>
      <c r="D26" s="31">
        <v>0.0003</v>
      </c>
      <c r="E26">
        <f t="shared" si="0"/>
        <v>55134.11767813612</v>
      </c>
      <c r="F26">
        <f t="shared" si="1"/>
        <v>55134</v>
      </c>
      <c r="G26" s="11">
        <f t="shared" si="2"/>
        <v>0.04103840918105561</v>
      </c>
      <c r="J26">
        <f>G26</f>
        <v>0.04103840918105561</v>
      </c>
      <c r="O26">
        <f t="shared" si="3"/>
        <v>0.040763635292245796</v>
      </c>
      <c r="Q26" s="2">
        <f t="shared" si="4"/>
        <v>38915.9021</v>
      </c>
      <c r="U26" s="37"/>
    </row>
    <row r="27" spans="1:21" ht="12.75">
      <c r="A27" s="31" t="s">
        <v>43</v>
      </c>
      <c r="B27" s="33" t="s">
        <v>41</v>
      </c>
      <c r="C27" s="31">
        <v>54631.5245</v>
      </c>
      <c r="D27" s="31">
        <v>0.0011</v>
      </c>
      <c r="E27">
        <f t="shared" si="0"/>
        <v>57133.12461617362</v>
      </c>
      <c r="F27">
        <f t="shared" si="1"/>
        <v>57133</v>
      </c>
      <c r="G27" s="11">
        <f t="shared" si="2"/>
        <v>0.04345794123219093</v>
      </c>
      <c r="J27">
        <f>G27</f>
        <v>0.04345794123219093</v>
      </c>
      <c r="O27">
        <f t="shared" si="3"/>
        <v>0.044369601276672034</v>
      </c>
      <c r="Q27" s="2">
        <f t="shared" si="4"/>
        <v>39613.0245</v>
      </c>
      <c r="U27" s="37"/>
    </row>
    <row r="28" spans="1:21" ht="12.75">
      <c r="A28" s="53" t="s">
        <v>103</v>
      </c>
      <c r="B28" s="54" t="s">
        <v>41</v>
      </c>
      <c r="C28" s="55">
        <v>54708.423</v>
      </c>
      <c r="D28" s="55" t="s">
        <v>63</v>
      </c>
      <c r="E28">
        <f t="shared" si="0"/>
        <v>57353.631997696124</v>
      </c>
      <c r="F28">
        <f t="shared" si="1"/>
        <v>57353.5</v>
      </c>
      <c r="G28" s="11">
        <f t="shared" si="2"/>
        <v>0.04603213173686527</v>
      </c>
      <c r="K28">
        <f>G28</f>
        <v>0.04603213173686527</v>
      </c>
      <c r="O28">
        <f t="shared" si="3"/>
        <v>0.04476735790476908</v>
      </c>
      <c r="Q28" s="2">
        <f t="shared" si="4"/>
        <v>39689.923</v>
      </c>
      <c r="U28" s="37"/>
    </row>
    <row r="29" spans="1:21" ht="12.75">
      <c r="A29" s="38" t="s">
        <v>51</v>
      </c>
      <c r="B29" s="38"/>
      <c r="C29" s="39">
        <v>55451.4064</v>
      </c>
      <c r="D29" s="39">
        <v>0.002</v>
      </c>
      <c r="E29">
        <f t="shared" si="0"/>
        <v>59484.14590952378</v>
      </c>
      <c r="F29">
        <f t="shared" si="1"/>
        <v>59484</v>
      </c>
      <c r="G29" s="11">
        <f t="shared" si="2"/>
        <v>0.05088366401469102</v>
      </c>
      <c r="J29">
        <f>G29</f>
        <v>0.05088366401469102</v>
      </c>
      <c r="O29">
        <f t="shared" si="3"/>
        <v>0.048610534758105804</v>
      </c>
      <c r="Q29" s="2">
        <f t="shared" si="4"/>
        <v>40432.9064</v>
      </c>
      <c r="U29" s="37"/>
    </row>
    <row r="30" spans="1:21" ht="12.75">
      <c r="A30" s="34" t="s">
        <v>46</v>
      </c>
      <c r="B30" s="35" t="s">
        <v>32</v>
      </c>
      <c r="C30" s="34">
        <v>55712.4317</v>
      </c>
      <c r="D30" s="34">
        <v>0.0022</v>
      </c>
      <c r="E30">
        <f t="shared" si="0"/>
        <v>60232.63912348925</v>
      </c>
      <c r="F30">
        <f t="shared" si="1"/>
        <v>60232.5</v>
      </c>
      <c r="G30" s="11">
        <f t="shared" si="2"/>
        <v>0.04851714062533574</v>
      </c>
      <c r="J30">
        <f>G30</f>
        <v>0.04851714062533574</v>
      </c>
      <c r="O30">
        <f t="shared" si="3"/>
        <v>0.049960742631714135</v>
      </c>
      <c r="Q30" s="2">
        <f t="shared" si="4"/>
        <v>40693.9317</v>
      </c>
      <c r="U30" s="37"/>
    </row>
    <row r="31" spans="1:21" ht="12.75">
      <c r="A31" s="56" t="s">
        <v>48</v>
      </c>
      <c r="B31" s="57" t="s">
        <v>41</v>
      </c>
      <c r="C31" s="58">
        <v>55831.35107</v>
      </c>
      <c r="D31" s="58">
        <v>0.0001</v>
      </c>
      <c r="E31">
        <f t="shared" si="0"/>
        <v>60573.641859446434</v>
      </c>
      <c r="F31">
        <f t="shared" si="1"/>
        <v>60573.5</v>
      </c>
      <c r="G31" s="11">
        <f t="shared" si="2"/>
        <v>0.04947126289334847</v>
      </c>
      <c r="J31">
        <f>G31</f>
        <v>0.04947126289334847</v>
      </c>
      <c r="O31">
        <f t="shared" si="3"/>
        <v>0.050575867394440165</v>
      </c>
      <c r="Q31" s="2">
        <f t="shared" si="4"/>
        <v>40812.85107</v>
      </c>
      <c r="U31" s="37"/>
    </row>
    <row r="32" spans="1:21" ht="12.75">
      <c r="A32" s="56" t="s">
        <v>49</v>
      </c>
      <c r="B32" s="57" t="s">
        <v>41</v>
      </c>
      <c r="C32" s="58">
        <v>56074.4202</v>
      </c>
      <c r="D32" s="58">
        <v>0.0024</v>
      </c>
      <c r="E32">
        <f t="shared" si="0"/>
        <v>61270.64553813004</v>
      </c>
      <c r="F32">
        <f t="shared" si="1"/>
        <v>61270.5</v>
      </c>
      <c r="G32" s="11">
        <f t="shared" si="2"/>
        <v>0.05075414626480779</v>
      </c>
      <c r="J32">
        <f>G32</f>
        <v>0.05075414626480779</v>
      </c>
      <c r="O32">
        <f t="shared" si="3"/>
        <v>0.051833175193912444</v>
      </c>
      <c r="Q32" s="2">
        <f t="shared" si="4"/>
        <v>41055.9202</v>
      </c>
      <c r="U32" s="37"/>
    </row>
    <row r="33" spans="1:21" ht="12.75">
      <c r="A33" s="59" t="s">
        <v>52</v>
      </c>
      <c r="B33" s="60" t="s">
        <v>41</v>
      </c>
      <c r="C33" s="59">
        <v>56897.4245</v>
      </c>
      <c r="D33" s="59">
        <v>0.0016</v>
      </c>
      <c r="E33">
        <f t="shared" si="0"/>
        <v>63630.62035135466</v>
      </c>
      <c r="F33">
        <f t="shared" si="1"/>
        <v>63630.5</v>
      </c>
      <c r="O33">
        <f t="shared" si="3"/>
        <v>0.05609034363975834</v>
      </c>
      <c r="Q33" s="2">
        <f t="shared" si="4"/>
        <v>41878.9245</v>
      </c>
      <c r="U33" s="11">
        <f>+C33-(C$7+F33*C$8)</f>
        <v>0.04197065233165631</v>
      </c>
    </row>
    <row r="34" spans="1:21" ht="12.75">
      <c r="A34" s="62" t="s">
        <v>1</v>
      </c>
      <c r="B34" s="63" t="s">
        <v>41</v>
      </c>
      <c r="C34" s="64">
        <v>57562.4598</v>
      </c>
      <c r="D34" s="64" t="s">
        <v>0</v>
      </c>
      <c r="E34">
        <f>+(C34-C$7)/C$8</f>
        <v>65537.61714092825</v>
      </c>
      <c r="F34">
        <f t="shared" si="1"/>
        <v>65537.5</v>
      </c>
      <c r="O34">
        <f>+C$11+C$12*F34</f>
        <v>0.05953035221019399</v>
      </c>
      <c r="Q34" s="2">
        <f>+C34-15018.5</f>
        <v>42543.9598</v>
      </c>
      <c r="U34" s="11">
        <f>+C34-(C$7+F34*C$8)</f>
        <v>0.040851066340110265</v>
      </c>
    </row>
    <row r="35" spans="1:4" ht="12.75">
      <c r="A35" s="61"/>
      <c r="B35" s="57"/>
      <c r="C35" s="58"/>
      <c r="D35" s="58"/>
    </row>
    <row r="36" spans="2:4" ht="12.75">
      <c r="B36" s="5"/>
      <c r="D36" s="5"/>
    </row>
    <row r="37" spans="2:4" ht="12.75">
      <c r="B37" s="5"/>
      <c r="D37" s="5"/>
    </row>
    <row r="38" spans="2:4" ht="12.75">
      <c r="B38" s="5"/>
      <c r="D38" s="5"/>
    </row>
    <row r="39" spans="2:4" ht="12.75">
      <c r="B39" s="5"/>
      <c r="D39" s="5"/>
    </row>
    <row r="40" spans="2:4" ht="12.75">
      <c r="B40" s="5"/>
      <c r="D40" s="5"/>
    </row>
    <row r="41" spans="2:4" ht="12.75">
      <c r="B41" s="5"/>
      <c r="D41" s="5"/>
    </row>
    <row r="42" spans="2:4" ht="12.75">
      <c r="B42" s="5"/>
      <c r="D42" s="5"/>
    </row>
    <row r="43" spans="2:4" ht="12.75">
      <c r="B43" s="5"/>
      <c r="D43" s="5"/>
    </row>
    <row r="44" spans="2:4" ht="12.75">
      <c r="B44" s="5"/>
      <c r="D44" s="5"/>
    </row>
    <row r="45" spans="2:4" ht="12.75">
      <c r="B45" s="5"/>
      <c r="D45" s="5"/>
    </row>
    <row r="46" spans="2:4" ht="12.75">
      <c r="B46" s="5"/>
      <c r="D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</sheetData>
  <sheetProtection/>
  <hyperlinks>
    <hyperlink ref="H957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zoomScalePageLayoutView="0" workbookViewId="0" topLeftCell="A1">
      <selection activeCell="A21" sqref="A21:D23"/>
    </sheetView>
  </sheetViews>
  <sheetFormatPr defaultColWidth="9.140625" defaultRowHeight="12.75"/>
  <cols>
    <col min="1" max="1" width="19.7109375" style="13" customWidth="1"/>
    <col min="2" max="2" width="4.421875" style="12" customWidth="1"/>
    <col min="3" max="3" width="12.7109375" style="13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3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0" t="s">
        <v>53</v>
      </c>
      <c r="I1" s="41" t="s">
        <v>54</v>
      </c>
      <c r="J1" s="42" t="s">
        <v>55</v>
      </c>
    </row>
    <row r="2" spans="9:10" ht="12.75">
      <c r="I2" s="43" t="s">
        <v>56</v>
      </c>
      <c r="J2" s="44" t="s">
        <v>57</v>
      </c>
    </row>
    <row r="3" spans="1:10" ht="12.75">
      <c r="A3" s="45" t="s">
        <v>58</v>
      </c>
      <c r="I3" s="43" t="s">
        <v>59</v>
      </c>
      <c r="J3" s="44" t="s">
        <v>60</v>
      </c>
    </row>
    <row r="4" spans="9:10" ht="12.75">
      <c r="I4" s="43" t="s">
        <v>61</v>
      </c>
      <c r="J4" s="44" t="s">
        <v>60</v>
      </c>
    </row>
    <row r="5" spans="9:10" ht="13.5" thickBot="1">
      <c r="I5" s="46" t="s">
        <v>62</v>
      </c>
      <c r="J5" s="47" t="s">
        <v>63</v>
      </c>
    </row>
    <row r="11" ht="13.5" thickBot="1"/>
    <row r="12" spans="1:16" ht="12.75" customHeight="1" thickBot="1">
      <c r="A12" s="13" t="str">
        <f aca="true" t="shared" si="0" ref="A12:A23">P12</f>
        <v>IBVS 5493 </v>
      </c>
      <c r="B12" s="5" t="str">
        <f aca="true" t="shared" si="1" ref="B12:B23">IF(H12=INT(H12),"I","II")</f>
        <v>I</v>
      </c>
      <c r="C12" s="13">
        <f aca="true" t="shared" si="2" ref="C12:C23">1*G12</f>
        <v>52862.737</v>
      </c>
      <c r="D12" s="12" t="str">
        <f aca="true" t="shared" si="3" ref="D12:D23">VLOOKUP(F12,I$1:J$5,2,FALSE)</f>
        <v>vis</v>
      </c>
      <c r="E12" s="48">
        <f>VLOOKUP(C12,A!C$21:E$972,3,FALSE)</f>
        <v>52061.10500467642</v>
      </c>
      <c r="F12" s="5" t="s">
        <v>62</v>
      </c>
      <c r="G12" s="12" t="str">
        <f aca="true" t="shared" si="4" ref="G12:G23">MID(I12,3,LEN(I12)-3)</f>
        <v>52862.737</v>
      </c>
      <c r="H12" s="13">
        <f aca="true" t="shared" si="5" ref="H12:H23">1*K12</f>
        <v>42958</v>
      </c>
      <c r="I12" s="49" t="s">
        <v>76</v>
      </c>
      <c r="J12" s="50" t="s">
        <v>77</v>
      </c>
      <c r="K12" s="49">
        <v>42958</v>
      </c>
      <c r="L12" s="49" t="s">
        <v>78</v>
      </c>
      <c r="M12" s="50" t="s">
        <v>67</v>
      </c>
      <c r="N12" s="50" t="s">
        <v>68</v>
      </c>
      <c r="O12" s="51" t="s">
        <v>74</v>
      </c>
      <c r="P12" s="52" t="s">
        <v>75</v>
      </c>
    </row>
    <row r="13" spans="1:16" ht="12.75" customHeight="1" thickBot="1">
      <c r="A13" s="13" t="str">
        <f t="shared" si="0"/>
        <v>BAVM 178 </v>
      </c>
      <c r="B13" s="5" t="str">
        <f t="shared" si="1"/>
        <v>I</v>
      </c>
      <c r="C13" s="13">
        <f t="shared" si="2"/>
        <v>53613.3919</v>
      </c>
      <c r="D13" s="12" t="str">
        <f t="shared" si="3"/>
        <v>vis</v>
      </c>
      <c r="E13" s="48">
        <f>VLOOKUP(C13,A!C$21:E$972,3,FALSE)</f>
        <v>54213.617035808755</v>
      </c>
      <c r="F13" s="5" t="s">
        <v>62</v>
      </c>
      <c r="G13" s="12" t="str">
        <f t="shared" si="4"/>
        <v>53613.3919</v>
      </c>
      <c r="H13" s="13">
        <f t="shared" si="5"/>
        <v>44734</v>
      </c>
      <c r="I13" s="49" t="s">
        <v>79</v>
      </c>
      <c r="J13" s="50" t="s">
        <v>80</v>
      </c>
      <c r="K13" s="49">
        <v>44734</v>
      </c>
      <c r="L13" s="49" t="s">
        <v>81</v>
      </c>
      <c r="M13" s="50" t="s">
        <v>82</v>
      </c>
      <c r="N13" s="50" t="s">
        <v>83</v>
      </c>
      <c r="O13" s="51" t="s">
        <v>84</v>
      </c>
      <c r="P13" s="52" t="s">
        <v>85</v>
      </c>
    </row>
    <row r="14" spans="1:16" ht="12.75" customHeight="1" thickBot="1">
      <c r="A14" s="13" t="str">
        <f t="shared" si="0"/>
        <v>BAVM 183 </v>
      </c>
      <c r="B14" s="5" t="str">
        <f t="shared" si="1"/>
        <v>II</v>
      </c>
      <c r="C14" s="13">
        <f t="shared" si="2"/>
        <v>53934.4021</v>
      </c>
      <c r="D14" s="12" t="str">
        <f t="shared" si="3"/>
        <v>vis</v>
      </c>
      <c r="E14" s="48">
        <f>VLOOKUP(C14,A!C$21:E$972,3,FALSE)</f>
        <v>55134.11767813612</v>
      </c>
      <c r="F14" s="5" t="s">
        <v>62</v>
      </c>
      <c r="G14" s="12" t="str">
        <f t="shared" si="4"/>
        <v>53934.4021</v>
      </c>
      <c r="H14" s="13">
        <f t="shared" si="5"/>
        <v>45493.5</v>
      </c>
      <c r="I14" s="49" t="s">
        <v>86</v>
      </c>
      <c r="J14" s="50" t="s">
        <v>87</v>
      </c>
      <c r="K14" s="49" t="s">
        <v>88</v>
      </c>
      <c r="L14" s="49" t="s">
        <v>89</v>
      </c>
      <c r="M14" s="50" t="s">
        <v>82</v>
      </c>
      <c r="N14" s="50" t="s">
        <v>83</v>
      </c>
      <c r="O14" s="51" t="s">
        <v>90</v>
      </c>
      <c r="P14" s="52" t="s">
        <v>91</v>
      </c>
    </row>
    <row r="15" spans="1:16" ht="12.75" customHeight="1" thickBot="1">
      <c r="A15" s="13" t="str">
        <f t="shared" si="0"/>
        <v>BAVM 201 </v>
      </c>
      <c r="B15" s="5" t="str">
        <f t="shared" si="1"/>
        <v>I</v>
      </c>
      <c r="C15" s="13">
        <f t="shared" si="2"/>
        <v>54631.5245</v>
      </c>
      <c r="D15" s="12" t="str">
        <f t="shared" si="3"/>
        <v>vis</v>
      </c>
      <c r="E15" s="48">
        <f>VLOOKUP(C15,A!C$21:E$972,3,FALSE)</f>
        <v>57133.12461617362</v>
      </c>
      <c r="F15" s="5" t="s">
        <v>62</v>
      </c>
      <c r="G15" s="12" t="str">
        <f t="shared" si="4"/>
        <v>54631.5245</v>
      </c>
      <c r="H15" s="13">
        <f t="shared" si="5"/>
        <v>47143</v>
      </c>
      <c r="I15" s="49" t="s">
        <v>92</v>
      </c>
      <c r="J15" s="50" t="s">
        <v>93</v>
      </c>
      <c r="K15" s="49" t="s">
        <v>94</v>
      </c>
      <c r="L15" s="49" t="s">
        <v>95</v>
      </c>
      <c r="M15" s="50" t="s">
        <v>82</v>
      </c>
      <c r="N15" s="50" t="s">
        <v>83</v>
      </c>
      <c r="O15" s="51" t="s">
        <v>84</v>
      </c>
      <c r="P15" s="52" t="s">
        <v>96</v>
      </c>
    </row>
    <row r="16" spans="1:16" ht="12.75" customHeight="1" thickBot="1">
      <c r="A16" s="13" t="str">
        <f t="shared" si="0"/>
        <v>BAVM 215 </v>
      </c>
      <c r="B16" s="5" t="str">
        <f t="shared" si="1"/>
        <v>I</v>
      </c>
      <c r="C16" s="13">
        <f t="shared" si="2"/>
        <v>55451.4064</v>
      </c>
      <c r="D16" s="12" t="str">
        <f t="shared" si="3"/>
        <v>vis</v>
      </c>
      <c r="E16" s="48">
        <f>VLOOKUP(C16,A!C$21:E$972,3,FALSE)</f>
        <v>59484.14590952378</v>
      </c>
      <c r="F16" s="5" t="s">
        <v>62</v>
      </c>
      <c r="G16" s="12" t="str">
        <f t="shared" si="4"/>
        <v>55451.4064</v>
      </c>
      <c r="H16" s="13">
        <f t="shared" si="5"/>
        <v>49083</v>
      </c>
      <c r="I16" s="49" t="s">
        <v>104</v>
      </c>
      <c r="J16" s="50" t="s">
        <v>105</v>
      </c>
      <c r="K16" s="49" t="s">
        <v>106</v>
      </c>
      <c r="L16" s="49" t="s">
        <v>107</v>
      </c>
      <c r="M16" s="50" t="s">
        <v>82</v>
      </c>
      <c r="N16" s="50" t="s">
        <v>83</v>
      </c>
      <c r="O16" s="51" t="s">
        <v>84</v>
      </c>
      <c r="P16" s="52" t="s">
        <v>108</v>
      </c>
    </row>
    <row r="17" spans="1:16" ht="12.75" customHeight="1" thickBot="1">
      <c r="A17" s="13" t="str">
        <f t="shared" si="0"/>
        <v>BAVM 220 </v>
      </c>
      <c r="B17" s="5" t="str">
        <f t="shared" si="1"/>
        <v>II</v>
      </c>
      <c r="C17" s="13">
        <f t="shared" si="2"/>
        <v>55712.4317</v>
      </c>
      <c r="D17" s="12" t="str">
        <f t="shared" si="3"/>
        <v>vis</v>
      </c>
      <c r="E17" s="48">
        <f>VLOOKUP(C17,A!C$21:E$972,3,FALSE)</f>
        <v>60232.63912348925</v>
      </c>
      <c r="F17" s="5" t="s">
        <v>62</v>
      </c>
      <c r="G17" s="12" t="str">
        <f t="shared" si="4"/>
        <v>55712.4317</v>
      </c>
      <c r="H17" s="13">
        <f t="shared" si="5"/>
        <v>49700.5</v>
      </c>
      <c r="I17" s="49" t="s">
        <v>109</v>
      </c>
      <c r="J17" s="50" t="s">
        <v>110</v>
      </c>
      <c r="K17" s="49" t="s">
        <v>111</v>
      </c>
      <c r="L17" s="49" t="s">
        <v>112</v>
      </c>
      <c r="M17" s="50" t="s">
        <v>82</v>
      </c>
      <c r="N17" s="50" t="s">
        <v>83</v>
      </c>
      <c r="O17" s="51" t="s">
        <v>84</v>
      </c>
      <c r="P17" s="52" t="s">
        <v>113</v>
      </c>
    </row>
    <row r="18" spans="1:16" ht="12.75" customHeight="1" thickBot="1">
      <c r="A18" s="13" t="str">
        <f t="shared" si="0"/>
        <v>OEJV 0160 </v>
      </c>
      <c r="B18" s="5" t="str">
        <f t="shared" si="1"/>
        <v>I</v>
      </c>
      <c r="C18" s="13">
        <f t="shared" si="2"/>
        <v>55831.35107</v>
      </c>
      <c r="D18" s="12" t="str">
        <f t="shared" si="3"/>
        <v>vis</v>
      </c>
      <c r="E18" s="48">
        <f>VLOOKUP(C18,A!C$21:E$972,3,FALSE)</f>
        <v>60573.641859446434</v>
      </c>
      <c r="F18" s="5" t="s">
        <v>62</v>
      </c>
      <c r="G18" s="12" t="str">
        <f t="shared" si="4"/>
        <v>55831.35107</v>
      </c>
      <c r="H18" s="13">
        <f t="shared" si="5"/>
        <v>49982</v>
      </c>
      <c r="I18" s="49" t="s">
        <v>114</v>
      </c>
      <c r="J18" s="50" t="s">
        <v>115</v>
      </c>
      <c r="K18" s="49" t="s">
        <v>116</v>
      </c>
      <c r="L18" s="49" t="s">
        <v>117</v>
      </c>
      <c r="M18" s="50" t="s">
        <v>82</v>
      </c>
      <c r="N18" s="50" t="s">
        <v>54</v>
      </c>
      <c r="O18" s="51" t="s">
        <v>118</v>
      </c>
      <c r="P18" s="52" t="s">
        <v>119</v>
      </c>
    </row>
    <row r="19" spans="1:16" ht="12.75" customHeight="1" thickBot="1">
      <c r="A19" s="13" t="str">
        <f t="shared" si="0"/>
        <v>BAVM 231 </v>
      </c>
      <c r="B19" s="5" t="str">
        <f t="shared" si="1"/>
        <v>I</v>
      </c>
      <c r="C19" s="13">
        <f t="shared" si="2"/>
        <v>56074.4202</v>
      </c>
      <c r="D19" s="12" t="str">
        <f t="shared" si="3"/>
        <v>vis</v>
      </c>
      <c r="E19" s="48">
        <f>VLOOKUP(C19,A!C$21:E$972,3,FALSE)</f>
        <v>61270.64553813004</v>
      </c>
      <c r="F19" s="5" t="s">
        <v>62</v>
      </c>
      <c r="G19" s="12" t="str">
        <f t="shared" si="4"/>
        <v>56074.4202</v>
      </c>
      <c r="H19" s="13">
        <f t="shared" si="5"/>
        <v>50557</v>
      </c>
      <c r="I19" s="49" t="s">
        <v>120</v>
      </c>
      <c r="J19" s="50" t="s">
        <v>121</v>
      </c>
      <c r="K19" s="49" t="s">
        <v>122</v>
      </c>
      <c r="L19" s="49" t="s">
        <v>123</v>
      </c>
      <c r="M19" s="50" t="s">
        <v>82</v>
      </c>
      <c r="N19" s="50" t="s">
        <v>83</v>
      </c>
      <c r="O19" s="51" t="s">
        <v>84</v>
      </c>
      <c r="P19" s="52" t="s">
        <v>124</v>
      </c>
    </row>
    <row r="20" spans="1:16" ht="12.75" customHeight="1" thickBot="1">
      <c r="A20" s="13" t="str">
        <f t="shared" si="0"/>
        <v>BAVM 238 </v>
      </c>
      <c r="B20" s="5" t="str">
        <f t="shared" si="1"/>
        <v>II</v>
      </c>
      <c r="C20" s="13">
        <f t="shared" si="2"/>
        <v>56897.4245</v>
      </c>
      <c r="D20" s="12" t="str">
        <f t="shared" si="3"/>
        <v>vis</v>
      </c>
      <c r="E20" s="48">
        <f>VLOOKUP(C20,A!C$21:E$972,3,FALSE)</f>
        <v>63630.62035135466</v>
      </c>
      <c r="F20" s="5" t="s">
        <v>62</v>
      </c>
      <c r="G20" s="12" t="str">
        <f t="shared" si="4"/>
        <v>56897.4245</v>
      </c>
      <c r="H20" s="13">
        <f t="shared" si="5"/>
        <v>52504.5</v>
      </c>
      <c r="I20" s="49" t="s">
        <v>125</v>
      </c>
      <c r="J20" s="50" t="s">
        <v>126</v>
      </c>
      <c r="K20" s="49" t="s">
        <v>127</v>
      </c>
      <c r="L20" s="49" t="s">
        <v>128</v>
      </c>
      <c r="M20" s="50" t="s">
        <v>82</v>
      </c>
      <c r="N20" s="50" t="s">
        <v>83</v>
      </c>
      <c r="O20" s="51" t="s">
        <v>84</v>
      </c>
      <c r="P20" s="52" t="s">
        <v>129</v>
      </c>
    </row>
    <row r="21" spans="1:16" ht="12.75" customHeight="1" thickBot="1">
      <c r="A21" s="13" t="str">
        <f t="shared" si="0"/>
        <v>IBVS 5493 </v>
      </c>
      <c r="B21" s="5" t="str">
        <f t="shared" si="1"/>
        <v>I</v>
      </c>
      <c r="C21" s="13">
        <f t="shared" si="2"/>
        <v>52859.772</v>
      </c>
      <c r="D21" s="12" t="str">
        <f t="shared" si="3"/>
        <v>vis</v>
      </c>
      <c r="E21" s="48" t="e">
        <f>VLOOKUP(C21,A!C$21:E$972,3,FALSE)</f>
        <v>#N/A</v>
      </c>
      <c r="F21" s="5" t="s">
        <v>62</v>
      </c>
      <c r="G21" s="12" t="str">
        <f t="shared" si="4"/>
        <v>52859.772</v>
      </c>
      <c r="H21" s="13">
        <f t="shared" si="5"/>
        <v>42951</v>
      </c>
      <c r="I21" s="49" t="s">
        <v>71</v>
      </c>
      <c r="J21" s="50" t="s">
        <v>72</v>
      </c>
      <c r="K21" s="49">
        <v>42951</v>
      </c>
      <c r="L21" s="49" t="s">
        <v>73</v>
      </c>
      <c r="M21" s="50" t="s">
        <v>67</v>
      </c>
      <c r="N21" s="50" t="s">
        <v>68</v>
      </c>
      <c r="O21" s="51" t="s">
        <v>74</v>
      </c>
      <c r="P21" s="52" t="s">
        <v>75</v>
      </c>
    </row>
    <row r="22" spans="1:16" ht="12.75" customHeight="1" thickBot="1">
      <c r="A22" s="13" t="str">
        <f t="shared" si="0"/>
        <v>BAVM 203 </v>
      </c>
      <c r="B22" s="5" t="str">
        <f t="shared" si="1"/>
        <v>I</v>
      </c>
      <c r="C22" s="13">
        <f t="shared" si="2"/>
        <v>54708.423</v>
      </c>
      <c r="D22" s="12" t="str">
        <f t="shared" si="3"/>
        <v>vis</v>
      </c>
      <c r="E22" s="48">
        <f>VLOOKUP(C22,A!C$21:E$972,3,FALSE)</f>
        <v>57353.631997696124</v>
      </c>
      <c r="F22" s="5" t="s">
        <v>62</v>
      </c>
      <c r="G22" s="12" t="str">
        <f t="shared" si="4"/>
        <v>54708.4230</v>
      </c>
      <c r="H22" s="13">
        <f t="shared" si="5"/>
        <v>47325</v>
      </c>
      <c r="I22" s="49" t="s">
        <v>97</v>
      </c>
      <c r="J22" s="50" t="s">
        <v>98</v>
      </c>
      <c r="K22" s="49" t="s">
        <v>99</v>
      </c>
      <c r="L22" s="49" t="s">
        <v>100</v>
      </c>
      <c r="M22" s="50" t="s">
        <v>82</v>
      </c>
      <c r="N22" s="50" t="s">
        <v>101</v>
      </c>
      <c r="O22" s="51" t="s">
        <v>102</v>
      </c>
      <c r="P22" s="52" t="s">
        <v>103</v>
      </c>
    </row>
    <row r="23" spans="1:16" ht="12.75" customHeight="1" thickBot="1">
      <c r="A23" s="13" t="str">
        <f t="shared" si="0"/>
        <v> BBS 124 </v>
      </c>
      <c r="B23" s="5" t="str">
        <f t="shared" si="1"/>
        <v>II</v>
      </c>
      <c r="C23" s="13">
        <f t="shared" si="2"/>
        <v>51811.4679</v>
      </c>
      <c r="D23" s="12" t="str">
        <f t="shared" si="3"/>
        <v>vis</v>
      </c>
      <c r="E23" s="48">
        <f>VLOOKUP(C23,A!C$21:E$972,3,FALSE)</f>
        <v>49046.57810861852</v>
      </c>
      <c r="F23" s="5" t="s">
        <v>62</v>
      </c>
      <c r="G23" s="12" t="str">
        <f t="shared" si="4"/>
        <v>51811.4679</v>
      </c>
      <c r="H23" s="13">
        <f t="shared" si="5"/>
        <v>40470.5</v>
      </c>
      <c r="I23" s="49" t="s">
        <v>64</v>
      </c>
      <c r="J23" s="50" t="s">
        <v>65</v>
      </c>
      <c r="K23" s="49">
        <v>40470.5</v>
      </c>
      <c r="L23" s="49" t="s">
        <v>66</v>
      </c>
      <c r="M23" s="50" t="s">
        <v>67</v>
      </c>
      <c r="N23" s="50" t="s">
        <v>68</v>
      </c>
      <c r="O23" s="51" t="s">
        <v>69</v>
      </c>
      <c r="P23" s="51" t="s">
        <v>70</v>
      </c>
    </row>
    <row r="24" spans="2:6" ht="12.75">
      <c r="B24" s="5"/>
      <c r="F24" s="5"/>
    </row>
    <row r="25" spans="2:6" ht="12.75">
      <c r="B25" s="5"/>
      <c r="F25" s="5"/>
    </row>
    <row r="26" spans="2:6" ht="12.75">
      <c r="B26" s="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</sheetData>
  <sheetProtection/>
  <hyperlinks>
    <hyperlink ref="P21" r:id="rId1" display="http://www.konkoly.hu/cgi-bin/IBVS?5493"/>
    <hyperlink ref="P12" r:id="rId2" display="http://www.konkoly.hu/cgi-bin/IBVS?5493"/>
    <hyperlink ref="P13" r:id="rId3" display="http://www.bav-astro.de/sfs/BAVM_link.php?BAVMnr=178"/>
    <hyperlink ref="P14" r:id="rId4" display="http://www.bav-astro.de/sfs/BAVM_link.php?BAVMnr=183"/>
    <hyperlink ref="P15" r:id="rId5" display="http://www.bav-astro.de/sfs/BAVM_link.php?BAVMnr=201"/>
    <hyperlink ref="P22" r:id="rId6" display="http://www.bav-astro.de/sfs/BAVM_link.php?BAVMnr=203"/>
    <hyperlink ref="P16" r:id="rId7" display="http://www.bav-astro.de/sfs/BAVM_link.php?BAVMnr=215"/>
    <hyperlink ref="P17" r:id="rId8" display="http://www.bav-astro.de/sfs/BAVM_link.php?BAVMnr=220"/>
    <hyperlink ref="P18" r:id="rId9" display="http://var.astro.cz/oejv/issues/oejv0160.pdf"/>
    <hyperlink ref="P19" r:id="rId10" display="http://www.bav-astro.de/sfs/BAVM_link.php?BAVMnr=231"/>
    <hyperlink ref="P20" r:id="rId11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