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9180" windowHeight="1312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<sst xmlns="http://schemas.openxmlformats.org/spreadsheetml/2006/main" count="107" uniqueCount="80">
  <si>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</si>
  <si>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</si>
  <si>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</si>
  <si>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</si>
  <si>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</si>
  <si>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</si>
  <si>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</si>
  <si>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</si>
  <si>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</si>
  <si>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</si>
  <si>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</si>
  <si>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</si>
  <si>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</si>
  <si>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</si>
  <si>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</si>
  <si>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</si>
  <si>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</si>
  <si>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</si>
  <si>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</si>
  <si>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</si>
  <si>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</si>
  <si>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</si>
  <si>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</si>
  <si>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</si>
  <si>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</si>
  <si>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</si>
  <si>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</si>
  <si>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</si>
  <si>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</si>
  <si>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</si>
  <si>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</si>
  <si>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</si>
  <si>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</si>
  <si>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</si>
  <si>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</si>
  <si>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</si>
  <si>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>V0910 Cyg / na</t>
  </si>
  <si>
    <t xml:space="preserve">EA/SD     </t>
  </si>
  <si>
    <t>IBVS 5781</t>
  </si>
  <si>
    <t>IBVS 5761</t>
  </si>
  <si>
    <t>OEJV 0074</t>
  </si>
  <si>
    <t>CCD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</si>
  <si>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</si>
  <si>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</si>
  <si>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</si>
  <si>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</si>
  <si>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</si>
  <si>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</si>
  <si>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</si>
  <si>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</si>
  <si>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</si>
  <si>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</si>
  <si>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2451699.40871 </t>
  </si>
  <si>
    <t> 03.06.2000 21:48 </t>
  </si>
  <si>
    <t> -0.01404 </t>
  </si>
  <si>
    <t>C </t>
  </si>
  <si>
    <t>o</t>
  </si>
  <si>
    <t> J.Šafár </t>
  </si>
  <si>
    <t>OEJV 0074 </t>
  </si>
  <si>
    <t>2452124.52110 </t>
  </si>
  <si>
    <t> 03.08.2001 00:30 </t>
  </si>
  <si>
    <t> -0.00942 </t>
  </si>
  <si>
    <t> Koss et al. </t>
  </si>
  <si>
    <t>2452187.321 </t>
  </si>
  <si>
    <t> 04.10.2001 19:42 </t>
  </si>
  <si>
    <t> -0.010 </t>
  </si>
  <si>
    <t>E </t>
  </si>
  <si>
    <t>?</t>
  </si>
  <si>
    <t> R.Diethelm </t>
  </si>
  <si>
    <t> BBS 126 </t>
  </si>
  <si>
    <t>2453934.4333 </t>
  </si>
  <si>
    <t> 17.07.2006 22:23 </t>
  </si>
  <si>
    <t> -0.0258 </t>
  </si>
  <si>
    <t> R. Diethelm </t>
  </si>
  <si>
    <t> BBS 133 (=IBVS 5781) </t>
  </si>
  <si>
    <t>2453942.4846 </t>
  </si>
  <si>
    <t> 25.07.2006 23:37 </t>
  </si>
  <si>
    <t>-I</t>
  </si>
  <si>
    <t> F. Agerer </t>
  </si>
  <si>
    <t>BAVM 183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</si>
</sst>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V910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0.003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0.0017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10685341"/>
        <c:axId val="29059206"/>
      </c:scatterChart>
      <c:val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crossBetween val="midCat"/>
        <c:dispUnits/>
      </c:valAx>
      <c:valAx>
        <c:axId val="2905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36</v>
      </c>
      <c r="F1" s="3">
        <v>52501.31</v>
      </c>
      <c r="G1" s="3">
        <v>1.610255</v>
      </c>
      <c r="H1" s="3" t="s">
        <v>37</v>
      </c>
    </row>
    <row r="2" spans="1:4" ht="12.75">
      <c r="A2" t="s">
        <v>22</v>
      </c>
      <c r="B2" t="s">
        <v>37</v>
      </c>
      <c r="C2" s="3"/>
      <c r="D2" s="3"/>
    </row>
    <row r="3" ht="13.5" thickBot="1"/>
    <row r="4" spans="1:4" ht="14.25" thickBot="1" thickTop="1">
      <c r="A4" s="5" t="s">
        <v>35</v>
      </c>
      <c r="C4" s="8">
        <v>52501.31</v>
      </c>
      <c r="D4" s="9">
        <v>1.610255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52501.31</v>
      </c>
    </row>
    <row r="8" spans="1:4" ht="12.75">
      <c r="A8" t="s">
        <v>2</v>
      </c>
      <c r="C8">
        <f>D4</f>
        <v>1.610255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0.004645737723739369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-9.270893148937988E-06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53942.484573288355</v>
      </c>
      <c r="E15" s="3"/>
      <c r="F15" s="12"/>
    </row>
    <row r="16" spans="1:6" ht="12.75">
      <c r="A16" s="18" t="s">
        <v>3</v>
      </c>
      <c r="B16" s="12"/>
      <c r="C16" s="19">
        <f>+C8+C12</f>
        <v>1.610245729106851</v>
      </c>
      <c r="E16" s="12"/>
      <c r="F16" s="12"/>
    </row>
    <row r="17" spans="1:6" ht="13.5" thickBot="1">
      <c r="A17" s="16" t="s">
        <v>26</v>
      </c>
      <c r="B17" s="12"/>
      <c r="C17" s="12">
        <f>COUNT(C21:C2174)</f>
        <v>6</v>
      </c>
      <c r="E17" s="16" t="s">
        <v>29</v>
      </c>
      <c r="F17" s="17">
        <f ca="1">TODAY()+15018.5-B5/24</f>
        <v>59896.5</v>
      </c>
    </row>
    <row r="18" spans="1:6" ht="14.25" thickBot="1" thickTop="1">
      <c r="A18" s="18" t="s">
        <v>4</v>
      </c>
      <c r="B18" s="12"/>
      <c r="C18" s="21">
        <f>+C15</f>
        <v>53942.484573288355</v>
      </c>
      <c r="D18" s="22">
        <f>+C16</f>
        <v>1.610245729106851</v>
      </c>
      <c r="E18" s="16" t="s">
        <v>30</v>
      </c>
      <c r="F18" s="17">
        <f>ROUND(2*(F17-C15)/C16,0)/2+1</f>
        <v>3698.5</v>
      </c>
    </row>
    <row r="19" spans="5:6" ht="13.5" thickTop="1">
      <c r="E19" s="16" t="s">
        <v>31</v>
      </c>
      <c r="F19" s="20">
        <f>+C15+C16*F18-15018.5-C5/24</f>
        <v>44879.87423572338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48</v>
      </c>
      <c r="I20" s="7" t="s">
        <v>51</v>
      </c>
      <c r="J20" s="7" t="s">
        <v>45</v>
      </c>
      <c r="K20" s="7" t="s">
        <v>41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34" t="s">
        <v>40</v>
      </c>
      <c r="B21" s="35" t="s">
        <v>33</v>
      </c>
      <c r="C21" s="36">
        <v>51699.40871</v>
      </c>
      <c r="D21" s="36">
        <v>0.003</v>
      </c>
      <c r="E21">
        <f aca="true" t="shared" si="0" ref="E21:E26">+(C21-C$7)/C$8</f>
        <v>-497.99646018797915</v>
      </c>
      <c r="F21">
        <f aca="true" t="shared" si="1" ref="F21:F26">ROUND(2*E21,0)/2</f>
        <v>-498</v>
      </c>
      <c r="G21">
        <f aca="true" t="shared" si="2" ref="G21:G26">+C21-(C$7+F21*C$8)</f>
        <v>0.005700000008800998</v>
      </c>
      <c r="K21">
        <f>+G21</f>
        <v>0.005700000008800998</v>
      </c>
      <c r="O21">
        <f aca="true" t="shared" si="3" ref="O21:O26">+C$11+C$12*$F21</f>
        <v>0.009262642511910488</v>
      </c>
      <c r="Q21" s="2">
        <f aca="true" t="shared" si="4" ref="Q21:Q26">+C21-15018.5</f>
        <v>36680.90871</v>
      </c>
    </row>
    <row r="22" spans="1:17" ht="12.75">
      <c r="A22" s="34" t="s">
        <v>40</v>
      </c>
      <c r="B22" s="35" t="s">
        <v>33</v>
      </c>
      <c r="C22" s="36">
        <v>52124.5211</v>
      </c>
      <c r="D22" s="36" t="s">
        <v>41</v>
      </c>
      <c r="E22">
        <f t="shared" si="0"/>
        <v>-233.9933116183459</v>
      </c>
      <c r="F22">
        <f t="shared" si="1"/>
        <v>-234</v>
      </c>
      <c r="G22">
        <f t="shared" si="2"/>
        <v>0.010770000000775326</v>
      </c>
      <c r="K22">
        <f>+G22</f>
        <v>0.010770000000775326</v>
      </c>
      <c r="O22">
        <f t="shared" si="3"/>
        <v>0.006815126720590859</v>
      </c>
      <c r="Q22" s="2">
        <f t="shared" si="4"/>
        <v>37106.0211</v>
      </c>
    </row>
    <row r="23" spans="1:17" ht="12.75">
      <c r="A23" s="50" t="s">
        <v>69</v>
      </c>
      <c r="B23" s="52" t="s">
        <v>33</v>
      </c>
      <c r="C23" s="51">
        <v>52187.321</v>
      </c>
      <c r="D23" s="51" t="s">
        <v>51</v>
      </c>
      <c r="E23">
        <f t="shared" si="0"/>
        <v>-194.99333956422686</v>
      </c>
      <c r="F23">
        <f t="shared" si="1"/>
        <v>-195</v>
      </c>
      <c r="G23">
        <f t="shared" si="2"/>
        <v>0.01072500000736909</v>
      </c>
      <c r="I23">
        <f>+G23</f>
        <v>0.01072500000736909</v>
      </c>
      <c r="O23">
        <f t="shared" si="3"/>
        <v>0.0064535618877822765</v>
      </c>
      <c r="Q23" s="2">
        <f t="shared" si="4"/>
        <v>37168.821</v>
      </c>
    </row>
    <row r="24" spans="1:17" ht="12.75">
      <c r="A24" s="31" t="s">
        <v>34</v>
      </c>
      <c r="B24" s="30" t="s">
        <v>33</v>
      </c>
      <c r="C24" s="31">
        <v>52501.31</v>
      </c>
      <c r="D24" s="28"/>
      <c r="E24">
        <f t="shared" si="0"/>
        <v>0</v>
      </c>
      <c r="F24">
        <f t="shared" si="1"/>
        <v>0</v>
      </c>
      <c r="G24">
        <f t="shared" si="2"/>
        <v>0</v>
      </c>
      <c r="H24">
        <f>+G24</f>
        <v>0</v>
      </c>
      <c r="O24">
        <f t="shared" si="3"/>
        <v>0.004645737723739369</v>
      </c>
      <c r="Q24" s="2">
        <f t="shared" si="4"/>
        <v>37482.81</v>
      </c>
    </row>
    <row r="25" spans="1:17" ht="12.75">
      <c r="A25" s="32" t="s">
        <v>38</v>
      </c>
      <c r="B25" s="30" t="s">
        <v>33</v>
      </c>
      <c r="C25" s="31">
        <v>53934.4333</v>
      </c>
      <c r="D25" s="31">
        <v>0.0005</v>
      </c>
      <c r="E25">
        <f t="shared" si="0"/>
        <v>889.9977332782692</v>
      </c>
      <c r="F25">
        <f t="shared" si="1"/>
        <v>890</v>
      </c>
      <c r="G25">
        <f t="shared" si="2"/>
        <v>-0.0036499999987427145</v>
      </c>
      <c r="K25">
        <f>+G25</f>
        <v>-0.0036499999987427145</v>
      </c>
      <c r="O25">
        <f t="shared" si="3"/>
        <v>-0.00360535717881544</v>
      </c>
      <c r="Q25" s="2">
        <f t="shared" si="4"/>
        <v>38915.9333</v>
      </c>
    </row>
    <row r="26" spans="1:17" ht="12.75">
      <c r="A26" s="31" t="s">
        <v>39</v>
      </c>
      <c r="B26" s="33" t="s">
        <v>33</v>
      </c>
      <c r="C26" s="31">
        <v>53942.4846</v>
      </c>
      <c r="D26" s="31">
        <v>0.0017</v>
      </c>
      <c r="E26">
        <f t="shared" si="0"/>
        <v>894.9977488037645</v>
      </c>
      <c r="F26">
        <f t="shared" si="1"/>
        <v>895</v>
      </c>
      <c r="G26">
        <f t="shared" si="2"/>
        <v>-0.0036249999975552782</v>
      </c>
      <c r="J26">
        <f>+G26</f>
        <v>-0.0036249999975552782</v>
      </c>
      <c r="O26">
        <f t="shared" si="3"/>
        <v>-0.0036517116445601294</v>
      </c>
      <c r="Q26" s="2">
        <f t="shared" si="4"/>
        <v>38923.9846</v>
      </c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4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42</v>
      </c>
      <c r="I1" s="38" t="s">
        <v>43</v>
      </c>
      <c r="J1" s="39" t="s">
        <v>41</v>
      </c>
    </row>
    <row r="2" spans="9:10" ht="12.75">
      <c r="I2" s="40" t="s">
        <v>44</v>
      </c>
      <c r="J2" s="41" t="s">
        <v>45</v>
      </c>
    </row>
    <row r="3" spans="1:10" ht="12.75">
      <c r="A3" s="42" t="s">
        <v>46</v>
      </c>
      <c r="I3" s="40" t="s">
        <v>47</v>
      </c>
      <c r="J3" s="41" t="s">
        <v>48</v>
      </c>
    </row>
    <row r="4" spans="9:10" ht="12.75">
      <c r="I4" s="40" t="s">
        <v>49</v>
      </c>
      <c r="J4" s="41" t="s">
        <v>48</v>
      </c>
    </row>
    <row r="5" spans="9:10" ht="13.5" thickBot="1">
      <c r="I5" s="43" t="s">
        <v>50</v>
      </c>
      <c r="J5" s="44" t="s">
        <v>51</v>
      </c>
    </row>
    <row r="10" ht="13.5" thickBot="1"/>
    <row r="11" spans="1:16" ht="12.75" customHeight="1" thickBot="1">
      <c r="A11" s="10" t="str">
        <f>P11</f>
        <v>OEJV 0074 </v>
      </c>
      <c r="B11" s="3" t="str">
        <f>IF(H11=INT(H11),"I","II")</f>
        <v>I</v>
      </c>
      <c r="C11" s="10">
        <f>1*G11</f>
        <v>51699.40871</v>
      </c>
      <c r="D11" s="12" t="str">
        <f>VLOOKUP(F11,I$1:J$5,2,FALSE)</f>
        <v>vis</v>
      </c>
      <c r="E11" s="45">
        <f>VLOOKUP(C11,A!C$21:E$973,3,FALSE)</f>
        <v>-497.99646018797915</v>
      </c>
      <c r="F11" s="3" t="s">
        <v>50</v>
      </c>
      <c r="G11" s="12" t="str">
        <f>MID(I11,3,LEN(I11)-3)</f>
        <v>51699.40871</v>
      </c>
      <c r="H11" s="10">
        <f>1*K11</f>
        <v>10602</v>
      </c>
      <c r="I11" s="46" t="s">
        <v>52</v>
      </c>
      <c r="J11" s="47" t="s">
        <v>53</v>
      </c>
      <c r="K11" s="46">
        <v>10602</v>
      </c>
      <c r="L11" s="46" t="s">
        <v>54</v>
      </c>
      <c r="M11" s="47" t="s">
        <v>55</v>
      </c>
      <c r="N11" s="47" t="s">
        <v>56</v>
      </c>
      <c r="O11" s="48" t="s">
        <v>57</v>
      </c>
      <c r="P11" s="49" t="s">
        <v>58</v>
      </c>
    </row>
    <row r="12" spans="1:16" ht="12.75" customHeight="1" thickBot="1">
      <c r="A12" s="10" t="str">
        <f>P12</f>
        <v>OEJV 0074 </v>
      </c>
      <c r="B12" s="3" t="str">
        <f>IF(H12=INT(H12),"I","II")</f>
        <v>I</v>
      </c>
      <c r="C12" s="10">
        <f>1*G12</f>
        <v>52124.5211</v>
      </c>
      <c r="D12" s="12" t="str">
        <f>VLOOKUP(F12,I$1:J$5,2,FALSE)</f>
        <v>vis</v>
      </c>
      <c r="E12" s="45">
        <f>VLOOKUP(C12,A!C$21:E$973,3,FALSE)</f>
        <v>-233.9933116183459</v>
      </c>
      <c r="F12" s="3" t="s">
        <v>50</v>
      </c>
      <c r="G12" s="12" t="str">
        <f>MID(I12,3,LEN(I12)-3)</f>
        <v>52124.52110</v>
      </c>
      <c r="H12" s="10">
        <f>1*K12</f>
        <v>10866</v>
      </c>
      <c r="I12" s="46" t="s">
        <v>59</v>
      </c>
      <c r="J12" s="47" t="s">
        <v>60</v>
      </c>
      <c r="K12" s="46">
        <v>10866</v>
      </c>
      <c r="L12" s="46" t="s">
        <v>61</v>
      </c>
      <c r="M12" s="47" t="s">
        <v>55</v>
      </c>
      <c r="N12" s="47" t="s">
        <v>56</v>
      </c>
      <c r="O12" s="48" t="s">
        <v>62</v>
      </c>
      <c r="P12" s="49" t="s">
        <v>58</v>
      </c>
    </row>
    <row r="13" spans="1:16" ht="12.75" customHeight="1" thickBot="1">
      <c r="A13" s="10" t="str">
        <f>P13</f>
        <v> BBS 133 (=IBVS 5781) </v>
      </c>
      <c r="B13" s="3" t="str">
        <f>IF(H13=INT(H13),"I","II")</f>
        <v>I</v>
      </c>
      <c r="C13" s="10">
        <f>1*G13</f>
        <v>53934.4333</v>
      </c>
      <c r="D13" s="12" t="str">
        <f>VLOOKUP(F13,I$1:J$5,2,FALSE)</f>
        <v>vis</v>
      </c>
      <c r="E13" s="45">
        <f>VLOOKUP(C13,A!C$21:E$973,3,FALSE)</f>
        <v>889.9977332782692</v>
      </c>
      <c r="F13" s="3" t="s">
        <v>50</v>
      </c>
      <c r="G13" s="12" t="str">
        <f>MID(I13,3,LEN(I13)-3)</f>
        <v>53934.4333</v>
      </c>
      <c r="H13" s="10">
        <f>1*K13</f>
        <v>11990</v>
      </c>
      <c r="I13" s="46" t="s">
        <v>70</v>
      </c>
      <c r="J13" s="47" t="s">
        <v>71</v>
      </c>
      <c r="K13" s="46">
        <v>11990</v>
      </c>
      <c r="L13" s="46" t="s">
        <v>72</v>
      </c>
      <c r="M13" s="47" t="s">
        <v>55</v>
      </c>
      <c r="N13" s="47" t="s">
        <v>50</v>
      </c>
      <c r="O13" s="48" t="s">
        <v>73</v>
      </c>
      <c r="P13" s="48" t="s">
        <v>74</v>
      </c>
    </row>
    <row r="14" spans="1:16" ht="12.75" customHeight="1" thickBot="1">
      <c r="A14" s="10" t="str">
        <f>P14</f>
        <v>BAVM 183 </v>
      </c>
      <c r="B14" s="3" t="str">
        <f>IF(H14=INT(H14),"I","II")</f>
        <v>I</v>
      </c>
      <c r="C14" s="10">
        <f>1*G14</f>
        <v>53942.4846</v>
      </c>
      <c r="D14" s="12" t="str">
        <f>VLOOKUP(F14,I$1:J$5,2,FALSE)</f>
        <v>vis</v>
      </c>
      <c r="E14" s="45">
        <f>VLOOKUP(C14,A!C$21:E$973,3,FALSE)</f>
        <v>894.9977488037645</v>
      </c>
      <c r="F14" s="3" t="s">
        <v>50</v>
      </c>
      <c r="G14" s="12" t="str">
        <f>MID(I14,3,LEN(I14)-3)</f>
        <v>53942.4846</v>
      </c>
      <c r="H14" s="10">
        <f>1*K14</f>
        <v>11995</v>
      </c>
      <c r="I14" s="46" t="s">
        <v>75</v>
      </c>
      <c r="J14" s="47" t="s">
        <v>76</v>
      </c>
      <c r="K14" s="46">
        <v>11995</v>
      </c>
      <c r="L14" s="46" t="s">
        <v>72</v>
      </c>
      <c r="M14" s="47" t="s">
        <v>55</v>
      </c>
      <c r="N14" s="47" t="s">
        <v>77</v>
      </c>
      <c r="O14" s="48" t="s">
        <v>78</v>
      </c>
      <c r="P14" s="49" t="s">
        <v>79</v>
      </c>
    </row>
    <row r="15" spans="1:16" ht="12.75" customHeight="1" thickBot="1">
      <c r="A15" s="10" t="str">
        <f>P15</f>
        <v> BBS 126 </v>
      </c>
      <c r="B15" s="3" t="str">
        <f>IF(H15=INT(H15),"I","II")</f>
        <v>I</v>
      </c>
      <c r="C15" s="10">
        <f>1*G15</f>
        <v>52187.321</v>
      </c>
      <c r="D15" s="12" t="str">
        <f>VLOOKUP(F15,I$1:J$5,2,FALSE)</f>
        <v>vis</v>
      </c>
      <c r="E15" s="45">
        <f>VLOOKUP(C15,A!C$21:E$973,3,FALSE)</f>
        <v>-194.99333956422686</v>
      </c>
      <c r="F15" s="3" t="s">
        <v>50</v>
      </c>
      <c r="G15" s="12" t="str">
        <f>MID(I15,3,LEN(I15)-3)</f>
        <v>52187.321</v>
      </c>
      <c r="H15" s="10">
        <f>1*K15</f>
        <v>10905</v>
      </c>
      <c r="I15" s="46" t="s">
        <v>63</v>
      </c>
      <c r="J15" s="47" t="s">
        <v>64</v>
      </c>
      <c r="K15" s="46">
        <v>10905</v>
      </c>
      <c r="L15" s="46" t="s">
        <v>65</v>
      </c>
      <c r="M15" s="47" t="s">
        <v>66</v>
      </c>
      <c r="N15" s="47" t="s">
        <v>67</v>
      </c>
      <c r="O15" s="48" t="s">
        <v>68</v>
      </c>
      <c r="P15" s="48" t="s">
        <v>69</v>
      </c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</sheetData>
  <sheetProtection/>
  <hyperlinks>
    <hyperlink ref="P11" r:id="rId1" display="http://var.astro.cz/oejv/issues/oejv0074.pdf"/>
    <hyperlink ref="P12" r:id="rId2" display="http://var.astro.cz/oejv/issues/oejv0074.pdf"/>
    <hyperlink ref="P14" r:id="rId3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