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1024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<sst xmlns="http://schemas.openxmlformats.org/spreadsheetml/2006/main" count="287" uniqueCount="152">
  <si>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</si>
  <si>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</si>
  <si>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</si>
  <si>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</si>
  <si>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</si>
  <si>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</si>
  <si>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</si>
  <si>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</si>
  <si>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</si>
  <si>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</si>
  <si>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</si>
  <si>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</si>
  <si>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</si>
  <si>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</si>
  <si>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</si>
  <si>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</si>
  <si>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</si>
  <si>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</si>
  <si>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</si>
  <si>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</si>
  <si>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</si>
  <si>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</si>
  <si>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</si>
  <si>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</si>
  <si>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</si>
  <si>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</si>
  <si>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</si>
  <si>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</si>
  <si>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</si>
  <si>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</si>
  <si>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IBVS 5731</t>
  </si>
  <si>
    <t>EA</t>
  </si>
  <si>
    <t>V912 Cyg / GSC 02655-01873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</si>
  <si>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</si>
  <si>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</si>
  <si>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</si>
  <si>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</si>
  <si>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</si>
  <si>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</si>
  <si>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Add cycle</t>
  </si>
  <si>
    <t>Old Cycle</t>
  </si>
  <si>
    <t>Start of linear fit &gt;&gt;&gt;&gt;&gt;&gt;&gt;&gt;&gt;&gt;&gt;&gt;&gt;&gt;&gt;&gt;&gt;&gt;&gt;&gt;&gt;</t>
  </si>
  <si>
    <t>I</t>
  </si>
  <si>
    <t>IBVS 6010</t>
  </si>
  <si>
    <t>IBVS 6118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</si>
  <si>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</si>
  <si>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</si>
  <si>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</si>
  <si>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</si>
  <si>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</si>
  <si>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</si>
  <si>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</si>
  <si>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</si>
  <si>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</si>
  <si>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</si>
  <si>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</si>
  <si>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</si>
  <si>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</si>
  <si>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</si>
  <si>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2432775.415 </t>
  </si>
  <si>
    <t> 11.08.1948 21:57 </t>
  </si>
  <si>
    <t> 0.000 </t>
  </si>
  <si>
    <t>P </t>
  </si>
  <si>
    <t> A.A.Wachmann </t>
  </si>
  <si>
    <t> AHSB 6.1.34 </t>
  </si>
  <si>
    <t>2433895.410 </t>
  </si>
  <si>
    <t> 05.09.1951 21:50 </t>
  </si>
  <si>
    <t> 0.001 </t>
  </si>
  <si>
    <t>2435020.475 </t>
  </si>
  <si>
    <t> 04.10.1954 23:24 </t>
  </si>
  <si>
    <t> 0.015 </t>
  </si>
  <si>
    <t>2435336.482 </t>
  </si>
  <si>
    <t> 16.08.1955 23:34 </t>
  </si>
  <si>
    <t>2435341.545 </t>
  </si>
  <si>
    <t> 22.08.1955 01:04 </t>
  </si>
  <si>
    <t> 0.004 </t>
  </si>
  <si>
    <t>2435369.350 </t>
  </si>
  <si>
    <t> 18.09.1955 20:24 </t>
  </si>
  <si>
    <t> -0.002 </t>
  </si>
  <si>
    <t>2435374.402 </t>
  </si>
  <si>
    <t> 23.09.1955 21:38 </t>
  </si>
  <si>
    <t> -0.006 </t>
  </si>
  <si>
    <t>2436810.424 </t>
  </si>
  <si>
    <t> 29.08.1959 22:10 </t>
  </si>
  <si>
    <t> -0.004 </t>
  </si>
  <si>
    <t>2436815.492 </t>
  </si>
  <si>
    <t> 03.09.1959 23:48 </t>
  </si>
  <si>
    <t> 0.008 </t>
  </si>
  <si>
    <t>2436848.351 </t>
  </si>
  <si>
    <t> 06.10.1959 20:25 </t>
  </si>
  <si>
    <t>2449140.4123 </t>
  </si>
  <si>
    <t> 01.06.1993 21:53 </t>
  </si>
  <si>
    <t> -0.0633 </t>
  </si>
  <si>
    <t>E </t>
  </si>
  <si>
    <t>o</t>
  </si>
  <si>
    <t> W.Moschner </t>
  </si>
  <si>
    <t>BAVM 68 </t>
  </si>
  <si>
    <t>2449236.4831 </t>
  </si>
  <si>
    <t> 05.09.1993 23:35 </t>
  </si>
  <si>
    <t> -0.0642 </t>
  </si>
  <si>
    <t>2453620.3547 </t>
  </si>
  <si>
    <t> 06.09.2005 20:30 </t>
  </si>
  <si>
    <t> -0.0973 </t>
  </si>
  <si>
    <t>C </t>
  </si>
  <si>
    <t>-I</t>
  </si>
  <si>
    <t> Agerer </t>
  </si>
  <si>
    <t>BAVM 178 </t>
  </si>
  <si>
    <t>2453658.2770 </t>
  </si>
  <si>
    <t> 14.10.2005 18:38 </t>
  </si>
  <si>
    <t>7247</t>
  </si>
  <si>
    <t> -0.0980 </t>
  </si>
  <si>
    <t>2453658.2780 </t>
  </si>
  <si>
    <t> 14.10.2005 18:40 </t>
  </si>
  <si>
    <t> -0.0970 </t>
  </si>
  <si>
    <t> Rätz </t>
  </si>
  <si>
    <t>2454252.3968 </t>
  </si>
  <si>
    <t> 31.05.2007 21:31 </t>
  </si>
  <si>
    <t>7482</t>
  </si>
  <si>
    <t> -0.1060 </t>
  </si>
  <si>
    <t> F.Agerer </t>
  </si>
  <si>
    <t>BAVM 186 </t>
  </si>
  <si>
    <t>2455061.4172 </t>
  </si>
  <si>
    <t> 17.08.2009 22:00 </t>
  </si>
  <si>
    <t>7802</t>
  </si>
  <si>
    <t> -0.1107 </t>
  </si>
  <si>
    <t> U.Schmidt </t>
  </si>
  <si>
    <t>BAVM 212 </t>
  </si>
  <si>
    <t>2455066.4690 </t>
  </si>
  <si>
    <t> 22.08.2009 23:15 </t>
  </si>
  <si>
    <t>7804</t>
  </si>
  <si>
    <t> -0.1153 </t>
  </si>
  <si>
    <t>2455430.5282 </t>
  </si>
  <si>
    <t> 22.08.2010 00:40 </t>
  </si>
  <si>
    <t>7948</t>
  </si>
  <si>
    <t> -0.1174 </t>
  </si>
  <si>
    <t>BAVM 215 </t>
  </si>
  <si>
    <t>2455741.4938 </t>
  </si>
  <si>
    <t> 28.06.2011 23:51 </t>
  </si>
  <si>
    <t>8071</t>
  </si>
  <si>
    <t> -0.1208 </t>
  </si>
  <si>
    <t>BAVM 220 </t>
  </si>
  <si>
    <t>2456014.5355 </t>
  </si>
  <si>
    <t> 28.03.2012 00:51 </t>
  </si>
  <si>
    <t>8179</t>
  </si>
  <si>
    <t> -0.1251 </t>
  </si>
  <si>
    <t> W.Moschner &amp; P.Frank </t>
  </si>
  <si>
    <t>BAVM 234 </t>
  </si>
  <si>
    <t>2456937.3271 </t>
  </si>
  <si>
    <t> 06.10.2014 19:51 </t>
  </si>
  <si>
    <t>8544</t>
  </si>
  <si>
    <t> -0.1277 </t>
  </si>
  <si>
    <t>BAVM 239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</si>
</sst>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0" xfId="61" applyFont="1" applyAlignment="1">
      <alignment wrapText="1"/>
      <protection/>
    </xf>
    <xf numFmtId="0" fontId="31" fillId="0" borderId="0" xfId="61" applyFont="1" applyAlignment="1">
      <alignment horizontal="center" wrapText="1"/>
      <protection/>
    </xf>
    <xf numFmtId="0" fontId="31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V912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5"/>
          <c:w val="0.906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0.0015</c:v>
                  </c:pt>
                  <c:pt idx="15">
                    <c:v>0.0006</c:v>
                  </c:pt>
                  <c:pt idx="16">
                    <c:v>0.0013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0.004</c:v>
                  </c:pt>
                  <c:pt idx="20">
                    <c:v>0.0011</c:v>
                  </c:pt>
                  <c:pt idx="21">
                    <c:v>0.0001</c:v>
                  </c:pt>
                  <c:pt idx="22">
                    <c:v>0.0015</c:v>
                  </c:pt>
                  <c:pt idx="23">
                    <c:v>0.0005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2790265"/>
        <c:axId val="26676930"/>
      </c:scatterChart>
      <c:val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crossBetween val="midCat"/>
        <c:dispUnits/>
      </c:valAx>
      <c:valAx>
        <c:axId val="2667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8152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68" TargetMode="External" /><Relationship Id="rId2" Type="http://schemas.openxmlformats.org/officeDocument/2006/relationships/hyperlink" Target="http://www.bav-astro.de/sfs/BAVM_link.php?BAVMnr=68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bav-astro.de/sfs/BAVM_link.php?BAVMnr=178" TargetMode="External" /><Relationship Id="rId5" Type="http://schemas.openxmlformats.org/officeDocument/2006/relationships/hyperlink" Target="http://www.bav-astro.de/sfs/BAVM_link.php?BAVMnr=178" TargetMode="External" /><Relationship Id="rId6" Type="http://schemas.openxmlformats.org/officeDocument/2006/relationships/hyperlink" Target="http://www.bav-astro.de/sfs/BAVM_link.php?BAVMnr=186" TargetMode="External" /><Relationship Id="rId7" Type="http://schemas.openxmlformats.org/officeDocument/2006/relationships/hyperlink" Target="http://www.bav-astro.de/sfs/BAVM_link.php?BAVMnr=212" TargetMode="External" /><Relationship Id="rId8" Type="http://schemas.openxmlformats.org/officeDocument/2006/relationships/hyperlink" Target="http://www.bav-astro.de/sfs/BAVM_link.php?BAVMnr=212" TargetMode="External" /><Relationship Id="rId9" Type="http://schemas.openxmlformats.org/officeDocument/2006/relationships/hyperlink" Target="http://www.bav-astro.de/sfs/BAVM_link.php?BAVMnr=215" TargetMode="External" /><Relationship Id="rId10" Type="http://schemas.openxmlformats.org/officeDocument/2006/relationships/hyperlink" Target="http://www.bav-astro.de/sfs/BAVM_link.php?BAVMnr=220" TargetMode="External" /><Relationship Id="rId11" Type="http://schemas.openxmlformats.org/officeDocument/2006/relationships/hyperlink" Target="http://www.bav-astro.de/sfs/BAVM_link.php?BAVMnr=234" TargetMode="External" /><Relationship Id="rId12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pane xSplit="14" ySplit="21" topLeftCell="O22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4" ht="12.75">
      <c r="A2" t="s">
        <v>25</v>
      </c>
      <c r="B2" t="s">
        <v>31</v>
      </c>
      <c r="C2" s="3"/>
      <c r="D2" s="3"/>
    </row>
    <row r="3" ht="13.5" thickBot="1"/>
    <row r="4" spans="1:4" ht="14.25" thickBot="1" thickTop="1">
      <c r="A4" s="5" t="s">
        <v>1</v>
      </c>
      <c r="C4" s="8">
        <v>35336.485</v>
      </c>
      <c r="D4" s="9">
        <v>2.5282034</v>
      </c>
    </row>
    <row r="5" spans="1:4" ht="13.5" thickTop="1">
      <c r="A5" s="14" t="s">
        <v>33</v>
      </c>
      <c r="B5" s="15"/>
      <c r="C5" s="16">
        <v>-9.5</v>
      </c>
      <c r="D5" s="15" t="s">
        <v>34</v>
      </c>
    </row>
    <row r="6" ht="12.75">
      <c r="A6" s="5" t="s">
        <v>2</v>
      </c>
    </row>
    <row r="7" spans="1:3" ht="12.75">
      <c r="A7" t="s">
        <v>3</v>
      </c>
      <c r="C7">
        <f>+C4</f>
        <v>35336.485</v>
      </c>
    </row>
    <row r="8" spans="1:3" ht="12.75">
      <c r="A8" t="s">
        <v>4</v>
      </c>
      <c r="C8">
        <f>+D4</f>
        <v>2.5282034</v>
      </c>
    </row>
    <row r="9" spans="1:4" ht="12.75">
      <c r="A9" s="29" t="s">
        <v>41</v>
      </c>
      <c r="B9" s="30">
        <v>32</v>
      </c>
      <c r="C9" s="28" t="str">
        <f>"F"&amp;B9</f>
        <v>F32</v>
      </c>
      <c r="D9" s="26" t="str">
        <f>"G"&amp;B9</f>
        <v>G32</v>
      </c>
    </row>
    <row r="10" spans="1:5" ht="13.5" thickBot="1">
      <c r="A10" s="15"/>
      <c r="B10" s="15"/>
      <c r="C10" s="4" t="s">
        <v>21</v>
      </c>
      <c r="D10" s="4" t="s">
        <v>22</v>
      </c>
      <c r="E10" s="15"/>
    </row>
    <row r="11" spans="1:5" ht="12.75">
      <c r="A11" s="15" t="s">
        <v>17</v>
      </c>
      <c r="B11" s="15"/>
      <c r="C11" s="27">
        <f ca="1">INTERCEPT(INDIRECT($D$9):G992,INDIRECT($C$9):F992)</f>
        <v>0.0562591122013934</v>
      </c>
      <c r="D11" s="3"/>
      <c r="E11" s="15"/>
    </row>
    <row r="12" spans="1:5" ht="12.75">
      <c r="A12" s="15" t="s">
        <v>18</v>
      </c>
      <c r="B12" s="15"/>
      <c r="C12" s="27">
        <f ca="1">SLOPE(INDIRECT($D$9):G992,INDIRECT($C$9):F992)</f>
        <v>-2.166155518993551E-05</v>
      </c>
      <c r="D12" s="3"/>
      <c r="E12" s="15"/>
    </row>
    <row r="13" spans="1:3" ht="12.75">
      <c r="A13" s="15" t="s">
        <v>20</v>
      </c>
      <c r="B13" s="15"/>
      <c r="C13" s="3" t="s">
        <v>15</v>
      </c>
    </row>
    <row r="14" spans="1:3" ht="12.75">
      <c r="A14" s="15"/>
      <c r="B14" s="15"/>
      <c r="C14" s="15"/>
    </row>
    <row r="15" spans="1:6" ht="12.75">
      <c r="A15" s="17" t="s">
        <v>19</v>
      </c>
      <c r="B15" s="15"/>
      <c r="C15" s="18">
        <f>(C7+C11)+(C8+C12)*INT(MAX(F21:F3533))</f>
        <v>57579.48419394964</v>
      </c>
      <c r="E15" s="19" t="s">
        <v>39</v>
      </c>
      <c r="F15" s="16">
        <v>1</v>
      </c>
    </row>
    <row r="16" spans="1:6" ht="12.75">
      <c r="A16" s="21" t="s">
        <v>5</v>
      </c>
      <c r="B16" s="15"/>
      <c r="C16" s="22">
        <f>+C8+C12</f>
        <v>2.52818173844481</v>
      </c>
      <c r="E16" s="19" t="s">
        <v>35</v>
      </c>
      <c r="F16" s="20">
        <f ca="1">NOW()+15018.5+$C$5/24</f>
        <v>59896.82558321759</v>
      </c>
    </row>
    <row r="17" spans="1:6" ht="13.5" thickBot="1">
      <c r="A17" s="19" t="s">
        <v>29</v>
      </c>
      <c r="B17" s="15"/>
      <c r="C17" s="15">
        <f>COUNT(C21:C2191)</f>
        <v>24</v>
      </c>
      <c r="E17" s="19" t="s">
        <v>40</v>
      </c>
      <c r="F17" s="20">
        <f>ROUND(2*(F16-$C$7)/$C$8,0)/2+F15</f>
        <v>9715.5</v>
      </c>
    </row>
    <row r="18" spans="1:6" ht="14.25" thickBot="1" thickTop="1">
      <c r="A18" s="21" t="s">
        <v>6</v>
      </c>
      <c r="B18" s="15"/>
      <c r="C18" s="24">
        <f>+C15</f>
        <v>57579.48419394964</v>
      </c>
      <c r="D18" s="25">
        <f>+C16</f>
        <v>2.52818173844481</v>
      </c>
      <c r="E18" s="19" t="s">
        <v>36</v>
      </c>
      <c r="F18" s="26">
        <f>ROUND(2*(F16-$C$15)/$C$16,0)/2+F15</f>
        <v>917.5</v>
      </c>
    </row>
    <row r="19" spans="5:6" ht="13.5" thickTop="1">
      <c r="E19" s="19" t="s">
        <v>37</v>
      </c>
      <c r="F19" s="23">
        <f>+$C$15+$C$16*F18-15018.5-$C$5/24</f>
        <v>44880.98677230609</v>
      </c>
    </row>
    <row r="20" spans="1:17" ht="13.5" thickBot="1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54</v>
      </c>
      <c r="I20" s="7" t="s">
        <v>57</v>
      </c>
      <c r="J20" s="7" t="s">
        <v>51</v>
      </c>
      <c r="K20" s="7" t="s">
        <v>49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</row>
    <row r="21" spans="1:17" ht="12.75">
      <c r="A21" s="55" t="s">
        <v>64</v>
      </c>
      <c r="B21" s="56" t="s">
        <v>42</v>
      </c>
      <c r="C21" s="55">
        <v>32775.415</v>
      </c>
      <c r="D21" s="55" t="s">
        <v>57</v>
      </c>
      <c r="E21" s="33">
        <f aca="true" t="shared" si="0" ref="E21:E43">+(C21-C$7)/C$8</f>
        <v>-1012.9999825172292</v>
      </c>
      <c r="F21">
        <f aca="true" t="shared" si="1" ref="F21:F44">ROUND(2*E21,0)/2</f>
        <v>-1013</v>
      </c>
      <c r="G21">
        <f>+C21-(C$7+F21*C$8)</f>
        <v>4.4200001866556704E-05</v>
      </c>
      <c r="I21">
        <f>+G21</f>
        <v>4.4200001866556704E-05</v>
      </c>
      <c r="O21">
        <f aca="true" t="shared" si="2" ref="O21:O43">+C$11+C$12*$F21</f>
        <v>0.07820226760879807</v>
      </c>
      <c r="Q21" s="2">
        <f aca="true" t="shared" si="3" ref="Q21:Q43">+C21-15018.5</f>
        <v>17756.915</v>
      </c>
    </row>
    <row r="22" spans="1:17" ht="12.75">
      <c r="A22" s="55" t="s">
        <v>64</v>
      </c>
      <c r="B22" s="56" t="s">
        <v>42</v>
      </c>
      <c r="C22" s="55">
        <v>33895.41</v>
      </c>
      <c r="D22" s="55" t="s">
        <v>57</v>
      </c>
      <c r="E22" s="33">
        <f t="shared" si="0"/>
        <v>-569.9996289855465</v>
      </c>
      <c r="F22">
        <f t="shared" si="1"/>
        <v>-570</v>
      </c>
      <c r="G22">
        <f>+C22-(C$7+F22*C$8)</f>
        <v>0.0009380000046803616</v>
      </c>
      <c r="I22">
        <f>+G22</f>
        <v>0.0009380000046803616</v>
      </c>
      <c r="O22">
        <f t="shared" si="2"/>
        <v>0.06860619865965664</v>
      </c>
      <c r="Q22" s="2">
        <f t="shared" si="3"/>
        <v>18876.910000000003</v>
      </c>
    </row>
    <row r="23" spans="1:17" ht="12.75">
      <c r="A23" s="55" t="s">
        <v>64</v>
      </c>
      <c r="B23" s="56" t="s">
        <v>42</v>
      </c>
      <c r="C23" s="55">
        <v>35020.475</v>
      </c>
      <c r="D23" s="55" t="s">
        <v>57</v>
      </c>
      <c r="E23" s="33">
        <f t="shared" si="0"/>
        <v>-124.99389882950162</v>
      </c>
      <c r="F23">
        <f t="shared" si="1"/>
        <v>-125</v>
      </c>
      <c r="G23">
        <f>+C23-(C$7+F23*C$8)</f>
        <v>0.015424999997776467</v>
      </c>
      <c r="I23">
        <f>+G23</f>
        <v>0.015424999997776467</v>
      </c>
      <c r="O23">
        <f t="shared" si="2"/>
        <v>0.05896680660013534</v>
      </c>
      <c r="Q23" s="2">
        <f t="shared" si="3"/>
        <v>20001.975</v>
      </c>
    </row>
    <row r="24" spans="1:17" ht="12.75">
      <c r="A24" s="55" t="s">
        <v>64</v>
      </c>
      <c r="B24" s="56" t="s">
        <v>42</v>
      </c>
      <c r="C24" s="55">
        <v>35336.482</v>
      </c>
      <c r="D24" s="55" t="s">
        <v>57</v>
      </c>
      <c r="E24" s="33">
        <f t="shared" si="0"/>
        <v>-0.0011866133860009844</v>
      </c>
      <c r="F24">
        <f t="shared" si="1"/>
        <v>0</v>
      </c>
      <c r="G24">
        <f>+C24-(C$7+F24*C$8)</f>
        <v>-0.0029999999969732016</v>
      </c>
      <c r="I24">
        <f>+G24</f>
        <v>-0.0029999999969732016</v>
      </c>
      <c r="O24">
        <f t="shared" si="2"/>
        <v>0.0562591122013934</v>
      </c>
      <c r="Q24" s="2">
        <f t="shared" si="3"/>
        <v>20317.982000000004</v>
      </c>
    </row>
    <row r="25" spans="1:17" ht="12.75">
      <c r="A25" t="s">
        <v>13</v>
      </c>
      <c r="C25" s="13">
        <v>35336.485</v>
      </c>
      <c r="D25" s="13" t="s">
        <v>15</v>
      </c>
      <c r="E25">
        <f t="shared" si="0"/>
        <v>0</v>
      </c>
      <c r="F25">
        <f t="shared" si="1"/>
        <v>0</v>
      </c>
      <c r="H25" s="26">
        <v>0</v>
      </c>
      <c r="O25">
        <f t="shared" si="2"/>
        <v>0.0562591122013934</v>
      </c>
      <c r="Q25" s="2">
        <f t="shared" si="3"/>
        <v>20317.985</v>
      </c>
    </row>
    <row r="26" spans="1:17" ht="12.75">
      <c r="A26" s="55" t="s">
        <v>64</v>
      </c>
      <c r="B26" s="56" t="s">
        <v>42</v>
      </c>
      <c r="C26" s="55">
        <v>35341.545</v>
      </c>
      <c r="D26" s="55" t="s">
        <v>57</v>
      </c>
      <c r="E26" s="33">
        <f t="shared" si="0"/>
        <v>2.001421246406706</v>
      </c>
      <c r="F26">
        <f t="shared" si="1"/>
        <v>2</v>
      </c>
      <c r="G26">
        <f aca="true" t="shared" si="4" ref="G26:G43">+C26-(C$7+F26*C$8)</f>
        <v>0.0035931999955209903</v>
      </c>
      <c r="I26">
        <f aca="true" t="shared" si="5" ref="I26:I31">+G26</f>
        <v>0.0035931999955209903</v>
      </c>
      <c r="O26">
        <f t="shared" si="2"/>
        <v>0.05621578909101353</v>
      </c>
      <c r="Q26" s="2">
        <f t="shared" si="3"/>
        <v>20323.045</v>
      </c>
    </row>
    <row r="27" spans="1:17" ht="12.75">
      <c r="A27" s="55" t="s">
        <v>64</v>
      </c>
      <c r="B27" s="56" t="s">
        <v>42</v>
      </c>
      <c r="C27" s="55">
        <v>35369.35</v>
      </c>
      <c r="D27" s="55" t="s">
        <v>57</v>
      </c>
      <c r="E27" s="33">
        <f t="shared" si="0"/>
        <v>12.999349656755449</v>
      </c>
      <c r="F27">
        <f t="shared" si="1"/>
        <v>13</v>
      </c>
      <c r="G27">
        <f t="shared" si="4"/>
        <v>-0.0016442000051029027</v>
      </c>
      <c r="I27">
        <f t="shared" si="5"/>
        <v>-0.0016442000051029027</v>
      </c>
      <c r="O27">
        <f t="shared" si="2"/>
        <v>0.05597751198392424</v>
      </c>
      <c r="Q27" s="2">
        <f t="shared" si="3"/>
        <v>20350.85</v>
      </c>
    </row>
    <row r="28" spans="1:17" ht="12.75">
      <c r="A28" s="55" t="s">
        <v>64</v>
      </c>
      <c r="B28" s="56" t="s">
        <v>42</v>
      </c>
      <c r="C28" s="55">
        <v>35374.402</v>
      </c>
      <c r="D28" s="55" t="s">
        <v>57</v>
      </c>
      <c r="E28" s="33">
        <f t="shared" si="0"/>
        <v>14.997606600798527</v>
      </c>
      <c r="F28">
        <f t="shared" si="1"/>
        <v>15</v>
      </c>
      <c r="G28">
        <f t="shared" si="4"/>
        <v>-0.006050999996659812</v>
      </c>
      <c r="I28">
        <f t="shared" si="5"/>
        <v>-0.006050999996659812</v>
      </c>
      <c r="O28">
        <f t="shared" si="2"/>
        <v>0.05593418887354437</v>
      </c>
      <c r="Q28" s="2">
        <f t="shared" si="3"/>
        <v>20355.902000000002</v>
      </c>
    </row>
    <row r="29" spans="1:17" ht="12.75">
      <c r="A29" s="55" t="s">
        <v>64</v>
      </c>
      <c r="B29" s="56" t="s">
        <v>42</v>
      </c>
      <c r="C29" s="55">
        <v>36810.424</v>
      </c>
      <c r="D29" s="55" t="s">
        <v>57</v>
      </c>
      <c r="E29" s="33">
        <f t="shared" si="0"/>
        <v>582.9985831045075</v>
      </c>
      <c r="F29">
        <f t="shared" si="1"/>
        <v>583</v>
      </c>
      <c r="G29">
        <f t="shared" si="4"/>
        <v>-0.0035821999990730546</v>
      </c>
      <c r="I29">
        <f t="shared" si="5"/>
        <v>-0.0035821999990730546</v>
      </c>
      <c r="O29">
        <f t="shared" si="2"/>
        <v>0.043630425525661</v>
      </c>
      <c r="Q29" s="2">
        <f t="shared" si="3"/>
        <v>21791.924</v>
      </c>
    </row>
    <row r="30" spans="1:17" ht="12.75">
      <c r="A30" s="55" t="s">
        <v>64</v>
      </c>
      <c r="B30" s="56" t="s">
        <v>42</v>
      </c>
      <c r="C30" s="55">
        <v>36815.492</v>
      </c>
      <c r="D30" s="55" t="s">
        <v>57</v>
      </c>
      <c r="E30" s="33">
        <f t="shared" si="0"/>
        <v>585.0031686532807</v>
      </c>
      <c r="F30">
        <f t="shared" si="1"/>
        <v>585</v>
      </c>
      <c r="G30">
        <f t="shared" si="4"/>
        <v>0.00801099999807775</v>
      </c>
      <c r="I30">
        <f t="shared" si="5"/>
        <v>0.00801099999807775</v>
      </c>
      <c r="O30">
        <f t="shared" si="2"/>
        <v>0.04358710241528113</v>
      </c>
      <c r="Q30" s="2">
        <f t="shared" si="3"/>
        <v>21796.992</v>
      </c>
    </row>
    <row r="31" spans="1:17" ht="12.75">
      <c r="A31" s="55" t="s">
        <v>64</v>
      </c>
      <c r="B31" s="56" t="s">
        <v>42</v>
      </c>
      <c r="C31" s="55">
        <v>36848.351</v>
      </c>
      <c r="D31" s="55" t="s">
        <v>57</v>
      </c>
      <c r="E31" s="33">
        <f t="shared" si="0"/>
        <v>598.0001450832641</v>
      </c>
      <c r="F31">
        <f t="shared" si="1"/>
        <v>598</v>
      </c>
      <c r="G31">
        <f t="shared" si="4"/>
        <v>0.0003667999990284443</v>
      </c>
      <c r="I31">
        <f t="shared" si="5"/>
        <v>0.0003667999990284443</v>
      </c>
      <c r="O31">
        <f t="shared" si="2"/>
        <v>0.04330550219781197</v>
      </c>
      <c r="Q31" s="2">
        <f t="shared" si="3"/>
        <v>21829.851000000002</v>
      </c>
    </row>
    <row r="32" spans="1:17" ht="12.75">
      <c r="A32" s="55" t="s">
        <v>96</v>
      </c>
      <c r="B32" s="56" t="s">
        <v>42</v>
      </c>
      <c r="C32" s="55">
        <v>49140.4123</v>
      </c>
      <c r="D32" s="55" t="s">
        <v>57</v>
      </c>
      <c r="E32" s="33">
        <f t="shared" si="0"/>
        <v>5459.974976696892</v>
      </c>
      <c r="F32">
        <f t="shared" si="1"/>
        <v>5460</v>
      </c>
      <c r="G32">
        <f t="shared" si="4"/>
        <v>-0.06326399999670684</v>
      </c>
      <c r="K32">
        <f>+G32</f>
        <v>-0.06326399999670684</v>
      </c>
      <c r="O32">
        <f t="shared" si="2"/>
        <v>-0.062012979135654483</v>
      </c>
      <c r="Q32" s="2">
        <f t="shared" si="3"/>
        <v>34121.9123</v>
      </c>
    </row>
    <row r="33" spans="1:17" ht="12.75">
      <c r="A33" s="55" t="s">
        <v>96</v>
      </c>
      <c r="B33" s="56" t="s">
        <v>42</v>
      </c>
      <c r="C33" s="55">
        <v>49236.4831</v>
      </c>
      <c r="D33" s="55" t="s">
        <v>57</v>
      </c>
      <c r="E33" s="33">
        <f t="shared" si="0"/>
        <v>5497.97460916317</v>
      </c>
      <c r="F33">
        <f t="shared" si="1"/>
        <v>5498</v>
      </c>
      <c r="G33">
        <f t="shared" si="4"/>
        <v>-0.06419319999986328</v>
      </c>
      <c r="K33">
        <f>+G33</f>
        <v>-0.06419319999986328</v>
      </c>
      <c r="O33">
        <f t="shared" si="2"/>
        <v>-0.06283611823287204</v>
      </c>
      <c r="Q33" s="2">
        <f t="shared" si="3"/>
        <v>34217.9831</v>
      </c>
    </row>
    <row r="34" spans="1:17" ht="12.75">
      <c r="A34" s="10" t="s">
        <v>30</v>
      </c>
      <c r="B34" s="11"/>
      <c r="C34" s="12">
        <v>53620.3547</v>
      </c>
      <c r="D34" s="12">
        <v>0.0002</v>
      </c>
      <c r="E34">
        <f t="shared" si="0"/>
        <v>7231.961518602499</v>
      </c>
      <c r="F34">
        <f t="shared" si="1"/>
        <v>7232</v>
      </c>
      <c r="G34">
        <f t="shared" si="4"/>
        <v>-0.09728880000329809</v>
      </c>
      <c r="J34">
        <f>+G34</f>
        <v>-0.09728880000329809</v>
      </c>
      <c r="O34">
        <f t="shared" si="2"/>
        <v>-0.10039725493222021</v>
      </c>
      <c r="Q34" s="2">
        <f t="shared" si="3"/>
        <v>38601.8547</v>
      </c>
    </row>
    <row r="35" spans="1:17" ht="12.75">
      <c r="A35" s="31" t="s">
        <v>30</v>
      </c>
      <c r="B35" s="32" t="s">
        <v>42</v>
      </c>
      <c r="C35" s="31">
        <v>53658.277</v>
      </c>
      <c r="D35" s="31">
        <v>0.0015</v>
      </c>
      <c r="E35" s="33">
        <f t="shared" si="0"/>
        <v>7246.9612215536135</v>
      </c>
      <c r="F35">
        <f t="shared" si="1"/>
        <v>7247</v>
      </c>
      <c r="G35">
        <f t="shared" si="4"/>
        <v>-0.09803979999560397</v>
      </c>
      <c r="J35">
        <f>+G35</f>
        <v>-0.09803979999560397</v>
      </c>
      <c r="O35">
        <f t="shared" si="2"/>
        <v>-0.10072217826006924</v>
      </c>
      <c r="Q35" s="2">
        <f t="shared" si="3"/>
        <v>38639.777</v>
      </c>
    </row>
    <row r="36" spans="1:17" ht="12.75">
      <c r="A36" s="31" t="s">
        <v>30</v>
      </c>
      <c r="B36" s="32" t="s">
        <v>42</v>
      </c>
      <c r="C36" s="31">
        <v>53658.278</v>
      </c>
      <c r="D36" s="31">
        <v>0.0006</v>
      </c>
      <c r="E36" s="33">
        <f t="shared" si="0"/>
        <v>7246.961617091408</v>
      </c>
      <c r="F36">
        <f t="shared" si="1"/>
        <v>7247</v>
      </c>
      <c r="G36">
        <f t="shared" si="4"/>
        <v>-0.09703979999903822</v>
      </c>
      <c r="J36">
        <f>+G36</f>
        <v>-0.09703979999903822</v>
      </c>
      <c r="O36">
        <f t="shared" si="2"/>
        <v>-0.10072217826006924</v>
      </c>
      <c r="Q36" s="2">
        <f t="shared" si="3"/>
        <v>38639.778</v>
      </c>
    </row>
    <row r="37" spans="1:17" ht="12.75">
      <c r="A37" s="12" t="s">
        <v>38</v>
      </c>
      <c r="B37" s="11"/>
      <c r="C37" s="12">
        <v>54252.3968</v>
      </c>
      <c r="D37" s="12">
        <v>0.0013</v>
      </c>
      <c r="E37" s="33">
        <f t="shared" si="0"/>
        <v>7481.958057646786</v>
      </c>
      <c r="F37">
        <f t="shared" si="1"/>
        <v>7482</v>
      </c>
      <c r="G37">
        <f t="shared" si="4"/>
        <v>-0.10603880000417121</v>
      </c>
      <c r="J37">
        <f>+G37</f>
        <v>-0.10603880000417121</v>
      </c>
      <c r="O37">
        <f t="shared" si="2"/>
        <v>-0.10581264372970409</v>
      </c>
      <c r="Q37" s="2">
        <f t="shared" si="3"/>
        <v>39233.8968</v>
      </c>
    </row>
    <row r="38" spans="1:17" ht="12.75">
      <c r="A38" s="55" t="s">
        <v>126</v>
      </c>
      <c r="B38" s="56" t="s">
        <v>42</v>
      </c>
      <c r="C38" s="55">
        <v>55061.4172</v>
      </c>
      <c r="D38" s="55" t="s">
        <v>57</v>
      </c>
      <c r="E38" s="33">
        <f t="shared" si="0"/>
        <v>7801.9562033656</v>
      </c>
      <c r="F38">
        <f t="shared" si="1"/>
        <v>7802</v>
      </c>
      <c r="G38">
        <f t="shared" si="4"/>
        <v>-0.11072679999779211</v>
      </c>
      <c r="K38">
        <f>+G38</f>
        <v>-0.11072679999779211</v>
      </c>
      <c r="O38">
        <f t="shared" si="2"/>
        <v>-0.11274434139048345</v>
      </c>
      <c r="Q38" s="2">
        <f t="shared" si="3"/>
        <v>40042.9172</v>
      </c>
    </row>
    <row r="39" spans="1:17" ht="12.75">
      <c r="A39" s="55" t="s">
        <v>126</v>
      </c>
      <c r="B39" s="56" t="s">
        <v>42</v>
      </c>
      <c r="C39" s="55">
        <v>55066.469</v>
      </c>
      <c r="D39" s="55" t="s">
        <v>57</v>
      </c>
      <c r="E39" s="33">
        <f t="shared" si="0"/>
        <v>7803.95438120208</v>
      </c>
      <c r="F39">
        <f t="shared" si="1"/>
        <v>7804</v>
      </c>
      <c r="G39">
        <f t="shared" si="4"/>
        <v>-0.11533360000612447</v>
      </c>
      <c r="I39">
        <f>+G39</f>
        <v>-0.11533360000612447</v>
      </c>
      <c r="O39">
        <f t="shared" si="2"/>
        <v>-0.1127876645008633</v>
      </c>
      <c r="Q39" s="2">
        <f t="shared" si="3"/>
        <v>40047.969</v>
      </c>
    </row>
    <row r="40" spans="1:17" ht="12.75">
      <c r="A40" s="40" t="s">
        <v>45</v>
      </c>
      <c r="B40" s="40"/>
      <c r="C40" s="34">
        <v>55430.5282</v>
      </c>
      <c r="D40" s="34">
        <v>0.004</v>
      </c>
      <c r="E40" s="33">
        <f t="shared" si="0"/>
        <v>7947.9535546863035</v>
      </c>
      <c r="F40">
        <f t="shared" si="1"/>
        <v>7948</v>
      </c>
      <c r="G40">
        <f t="shared" si="4"/>
        <v>-0.11742320000485051</v>
      </c>
      <c r="J40">
        <f>+G40</f>
        <v>-0.11742320000485051</v>
      </c>
      <c r="O40">
        <f t="shared" si="2"/>
        <v>-0.11590692844821404</v>
      </c>
      <c r="Q40" s="2">
        <f t="shared" si="3"/>
        <v>40412.0282</v>
      </c>
    </row>
    <row r="41" spans="1:17" ht="12.75">
      <c r="A41" s="31" t="s">
        <v>43</v>
      </c>
      <c r="B41" s="32" t="s">
        <v>42</v>
      </c>
      <c r="C41" s="31">
        <v>55741.4938</v>
      </c>
      <c r="D41" s="31">
        <v>0.0011</v>
      </c>
      <c r="E41" s="33">
        <f t="shared" si="0"/>
        <v>8070.952202659008</v>
      </c>
      <c r="F41">
        <f t="shared" si="1"/>
        <v>8071</v>
      </c>
      <c r="G41">
        <f t="shared" si="4"/>
        <v>-0.12084140000661137</v>
      </c>
      <c r="J41">
        <f>+G41</f>
        <v>-0.12084140000661137</v>
      </c>
      <c r="O41">
        <f t="shared" si="2"/>
        <v>-0.1185712997365761</v>
      </c>
      <c r="Q41" s="2">
        <f t="shared" si="3"/>
        <v>40722.9938</v>
      </c>
    </row>
    <row r="42" spans="1:17" ht="12.75">
      <c r="A42" s="36" t="s">
        <v>44</v>
      </c>
      <c r="B42" s="37" t="s">
        <v>42</v>
      </c>
      <c r="C42" s="38">
        <v>56014.5355</v>
      </c>
      <c r="D42" s="39">
        <v>0.0001</v>
      </c>
      <c r="E42" s="33">
        <f t="shared" si="0"/>
        <v>8178.950514820127</v>
      </c>
      <c r="F42">
        <f t="shared" si="1"/>
        <v>8179</v>
      </c>
      <c r="G42">
        <f t="shared" si="4"/>
        <v>-0.12510860000475077</v>
      </c>
      <c r="J42">
        <f>+G42</f>
        <v>-0.12510860000475077</v>
      </c>
      <c r="O42">
        <f t="shared" si="2"/>
        <v>-0.12091074769708912</v>
      </c>
      <c r="Q42" s="2">
        <f t="shared" si="3"/>
        <v>40996.0355</v>
      </c>
    </row>
    <row r="43" spans="1:17" ht="12.75">
      <c r="A43" s="35" t="s">
        <v>46</v>
      </c>
      <c r="B43" s="41"/>
      <c r="C43" s="35">
        <v>56937.3271</v>
      </c>
      <c r="D43" s="35">
        <v>0.0015</v>
      </c>
      <c r="E43" s="33">
        <f t="shared" si="0"/>
        <v>8543.94947020481</v>
      </c>
      <c r="F43">
        <f t="shared" si="1"/>
        <v>8544</v>
      </c>
      <c r="G43">
        <f t="shared" si="4"/>
        <v>-0.12774960000388091</v>
      </c>
      <c r="J43">
        <f>+G43</f>
        <v>-0.12774960000388091</v>
      </c>
      <c r="O43">
        <f t="shared" si="2"/>
        <v>-0.1288172153414156</v>
      </c>
      <c r="Q43" s="2">
        <f t="shared" si="3"/>
        <v>41918.8271</v>
      </c>
    </row>
    <row r="44" spans="1:17" ht="12.75">
      <c r="A44" s="57" t="s">
        <v>0</v>
      </c>
      <c r="B44" s="58" t="s">
        <v>42</v>
      </c>
      <c r="C44" s="59">
        <v>57579.485</v>
      </c>
      <c r="D44" s="59">
        <v>0.0005</v>
      </c>
      <c r="E44" s="33">
        <f>+(C44-C$7)/C$8</f>
        <v>8797.94719048317</v>
      </c>
      <c r="F44">
        <f t="shared" si="1"/>
        <v>8798</v>
      </c>
      <c r="G44">
        <f>+C44-(C$7+F44*C$8)</f>
        <v>-0.13351320000219857</v>
      </c>
      <c r="K44">
        <f>+G44</f>
        <v>-0.13351320000219857</v>
      </c>
      <c r="O44">
        <f>+C$11+C$12*$F44</f>
        <v>-0.13431925035965922</v>
      </c>
      <c r="Q44" s="2">
        <f>+C44-15018.5</f>
        <v>42560.985</v>
      </c>
    </row>
    <row r="45" spans="2:4" ht="12.75">
      <c r="B45" s="3"/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</sheetData>
  <sheetProtection/>
  <hyperlinks>
    <hyperlink ref="H950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8"/>
  <sheetViews>
    <sheetView zoomScalePageLayoutView="0" workbookViewId="0" topLeftCell="A9">
      <selection activeCell="A19" sqref="A19:D32"/>
    </sheetView>
  </sheetViews>
  <sheetFormatPr defaultColWidth="9.140625" defaultRowHeight="12.75"/>
  <cols>
    <col min="1" max="1" width="19.7109375" style="13" customWidth="1"/>
    <col min="2" max="2" width="4.421875" style="15" customWidth="1"/>
    <col min="3" max="3" width="12.7109375" style="13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3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42" t="s">
        <v>47</v>
      </c>
      <c r="I1" s="43" t="s">
        <v>48</v>
      </c>
      <c r="J1" s="44" t="s">
        <v>49</v>
      </c>
    </row>
    <row r="2" spans="9:10" ht="12.75">
      <c r="I2" s="45" t="s">
        <v>50</v>
      </c>
      <c r="J2" s="46" t="s">
        <v>51</v>
      </c>
    </row>
    <row r="3" spans="1:10" ht="12.75">
      <c r="A3" s="47" t="s">
        <v>52</v>
      </c>
      <c r="I3" s="45" t="s">
        <v>53</v>
      </c>
      <c r="J3" s="46" t="s">
        <v>54</v>
      </c>
    </row>
    <row r="4" spans="9:10" ht="12.75">
      <c r="I4" s="45" t="s">
        <v>55</v>
      </c>
      <c r="J4" s="46" t="s">
        <v>54</v>
      </c>
    </row>
    <row r="5" spans="9:10" ht="13.5" thickBot="1">
      <c r="I5" s="48" t="s">
        <v>56</v>
      </c>
      <c r="J5" s="49" t="s">
        <v>57</v>
      </c>
    </row>
    <row r="10" ht="13.5" thickBot="1"/>
    <row r="11" spans="1:16" ht="12.75" customHeight="1" thickBot="1">
      <c r="A11" s="13" t="str">
        <f aca="true" t="shared" si="0" ref="A11:A32">P11</f>
        <v>BAVM 178 </v>
      </c>
      <c r="B11" s="3" t="str">
        <f aca="true" t="shared" si="1" ref="B11:B32">IF(H11=INT(H11),"I","II")</f>
        <v>I</v>
      </c>
      <c r="C11" s="13">
        <f aca="true" t="shared" si="2" ref="C11:C32">1*G11</f>
        <v>53620.3547</v>
      </c>
      <c r="D11" s="15" t="str">
        <f aca="true" t="shared" si="3" ref="D11:D32">VLOOKUP(F11,I$1:J$5,2,FALSE)</f>
        <v>vis</v>
      </c>
      <c r="E11" s="50">
        <f>VLOOKUP(C11,A!C$21:E$973,3,FALSE)</f>
        <v>7231.961518602499</v>
      </c>
      <c r="F11" s="3" t="s">
        <v>56</v>
      </c>
      <c r="G11" s="15" t="str">
        <f aca="true" t="shared" si="4" ref="G11:G32">MID(I11,3,LEN(I11)-3)</f>
        <v>53620.3547</v>
      </c>
      <c r="H11" s="13">
        <f aca="true" t="shared" si="5" ref="H11:H32">1*K11</f>
        <v>7232</v>
      </c>
      <c r="I11" s="51" t="s">
        <v>100</v>
      </c>
      <c r="J11" s="52" t="s">
        <v>101</v>
      </c>
      <c r="K11" s="51">
        <v>7232</v>
      </c>
      <c r="L11" s="51" t="s">
        <v>102</v>
      </c>
      <c r="M11" s="52" t="s">
        <v>103</v>
      </c>
      <c r="N11" s="52" t="s">
        <v>104</v>
      </c>
      <c r="O11" s="53" t="s">
        <v>105</v>
      </c>
      <c r="P11" s="54" t="s">
        <v>106</v>
      </c>
    </row>
    <row r="12" spans="1:16" ht="12.75" customHeight="1" thickBot="1">
      <c r="A12" s="13" t="str">
        <f t="shared" si="0"/>
        <v>BAVM 178 </v>
      </c>
      <c r="B12" s="3" t="str">
        <f t="shared" si="1"/>
        <v>I</v>
      </c>
      <c r="C12" s="13">
        <f t="shared" si="2"/>
        <v>53658.277</v>
      </c>
      <c r="D12" s="15" t="str">
        <f t="shared" si="3"/>
        <v>vis</v>
      </c>
      <c r="E12" s="50">
        <f>VLOOKUP(C12,A!C$21:E$973,3,FALSE)</f>
        <v>7246.9612215536135</v>
      </c>
      <c r="F12" s="3" t="s">
        <v>56</v>
      </c>
      <c r="G12" s="15" t="str">
        <f t="shared" si="4"/>
        <v>53658.2770</v>
      </c>
      <c r="H12" s="13">
        <f t="shared" si="5"/>
        <v>7247</v>
      </c>
      <c r="I12" s="51" t="s">
        <v>107</v>
      </c>
      <c r="J12" s="52" t="s">
        <v>108</v>
      </c>
      <c r="K12" s="51" t="s">
        <v>109</v>
      </c>
      <c r="L12" s="51" t="s">
        <v>110</v>
      </c>
      <c r="M12" s="52" t="s">
        <v>103</v>
      </c>
      <c r="N12" s="52" t="s">
        <v>104</v>
      </c>
      <c r="O12" s="53" t="s">
        <v>105</v>
      </c>
      <c r="P12" s="54" t="s">
        <v>106</v>
      </c>
    </row>
    <row r="13" spans="1:16" ht="12.75" customHeight="1" thickBot="1">
      <c r="A13" s="13" t="str">
        <f t="shared" si="0"/>
        <v>BAVM 178 </v>
      </c>
      <c r="B13" s="3" t="str">
        <f t="shared" si="1"/>
        <v>I</v>
      </c>
      <c r="C13" s="13">
        <f t="shared" si="2"/>
        <v>53658.278</v>
      </c>
      <c r="D13" s="15" t="str">
        <f t="shared" si="3"/>
        <v>vis</v>
      </c>
      <c r="E13" s="50">
        <f>VLOOKUP(C13,A!C$21:E$973,3,FALSE)</f>
        <v>7246.961617091408</v>
      </c>
      <c r="F13" s="3" t="s">
        <v>56</v>
      </c>
      <c r="G13" s="15" t="str">
        <f t="shared" si="4"/>
        <v>53658.2780</v>
      </c>
      <c r="H13" s="13">
        <f t="shared" si="5"/>
        <v>7247</v>
      </c>
      <c r="I13" s="51" t="s">
        <v>111</v>
      </c>
      <c r="J13" s="52" t="s">
        <v>112</v>
      </c>
      <c r="K13" s="51" t="s">
        <v>109</v>
      </c>
      <c r="L13" s="51" t="s">
        <v>113</v>
      </c>
      <c r="M13" s="52" t="s">
        <v>103</v>
      </c>
      <c r="N13" s="52" t="s">
        <v>104</v>
      </c>
      <c r="O13" s="53" t="s">
        <v>114</v>
      </c>
      <c r="P13" s="54" t="s">
        <v>106</v>
      </c>
    </row>
    <row r="14" spans="1:16" ht="12.75" customHeight="1" thickBot="1">
      <c r="A14" s="13" t="str">
        <f t="shared" si="0"/>
        <v>BAVM 186 </v>
      </c>
      <c r="B14" s="3" t="str">
        <f t="shared" si="1"/>
        <v>I</v>
      </c>
      <c r="C14" s="13">
        <f t="shared" si="2"/>
        <v>54252.3968</v>
      </c>
      <c r="D14" s="15" t="str">
        <f t="shared" si="3"/>
        <v>vis</v>
      </c>
      <c r="E14" s="50">
        <f>VLOOKUP(C14,A!C$21:E$973,3,FALSE)</f>
        <v>7481.958057646786</v>
      </c>
      <c r="F14" s="3" t="s">
        <v>56</v>
      </c>
      <c r="G14" s="15" t="str">
        <f t="shared" si="4"/>
        <v>54252.3968</v>
      </c>
      <c r="H14" s="13">
        <f t="shared" si="5"/>
        <v>7482</v>
      </c>
      <c r="I14" s="51" t="s">
        <v>115</v>
      </c>
      <c r="J14" s="52" t="s">
        <v>116</v>
      </c>
      <c r="K14" s="51" t="s">
        <v>117</v>
      </c>
      <c r="L14" s="51" t="s">
        <v>118</v>
      </c>
      <c r="M14" s="52" t="s">
        <v>103</v>
      </c>
      <c r="N14" s="52" t="s">
        <v>104</v>
      </c>
      <c r="O14" s="53" t="s">
        <v>119</v>
      </c>
      <c r="P14" s="54" t="s">
        <v>120</v>
      </c>
    </row>
    <row r="15" spans="1:16" ht="12.75" customHeight="1" thickBot="1">
      <c r="A15" s="13" t="str">
        <f t="shared" si="0"/>
        <v>BAVM 215 </v>
      </c>
      <c r="B15" s="3" t="str">
        <f t="shared" si="1"/>
        <v>I</v>
      </c>
      <c r="C15" s="13">
        <f t="shared" si="2"/>
        <v>55430.5282</v>
      </c>
      <c r="D15" s="15" t="str">
        <f t="shared" si="3"/>
        <v>vis</v>
      </c>
      <c r="E15" s="50">
        <f>VLOOKUP(C15,A!C$21:E$973,3,FALSE)</f>
        <v>7947.9535546863035</v>
      </c>
      <c r="F15" s="3" t="s">
        <v>56</v>
      </c>
      <c r="G15" s="15" t="str">
        <f t="shared" si="4"/>
        <v>55430.5282</v>
      </c>
      <c r="H15" s="13">
        <f t="shared" si="5"/>
        <v>7948</v>
      </c>
      <c r="I15" s="51" t="s">
        <v>131</v>
      </c>
      <c r="J15" s="52" t="s">
        <v>132</v>
      </c>
      <c r="K15" s="51" t="s">
        <v>133</v>
      </c>
      <c r="L15" s="51" t="s">
        <v>134</v>
      </c>
      <c r="M15" s="52" t="s">
        <v>103</v>
      </c>
      <c r="N15" s="52" t="s">
        <v>104</v>
      </c>
      <c r="O15" s="53" t="s">
        <v>119</v>
      </c>
      <c r="P15" s="54" t="s">
        <v>135</v>
      </c>
    </row>
    <row r="16" spans="1:16" ht="12.75" customHeight="1" thickBot="1">
      <c r="A16" s="13" t="str">
        <f t="shared" si="0"/>
        <v>BAVM 220 </v>
      </c>
      <c r="B16" s="3" t="str">
        <f t="shared" si="1"/>
        <v>I</v>
      </c>
      <c r="C16" s="13">
        <f t="shared" si="2"/>
        <v>55741.4938</v>
      </c>
      <c r="D16" s="15" t="str">
        <f t="shared" si="3"/>
        <v>vis</v>
      </c>
      <c r="E16" s="50">
        <f>VLOOKUP(C16,A!C$21:E$973,3,FALSE)</f>
        <v>8070.952202659008</v>
      </c>
      <c r="F16" s="3" t="s">
        <v>56</v>
      </c>
      <c r="G16" s="15" t="str">
        <f t="shared" si="4"/>
        <v>55741.4938</v>
      </c>
      <c r="H16" s="13">
        <f t="shared" si="5"/>
        <v>8071</v>
      </c>
      <c r="I16" s="51" t="s">
        <v>136</v>
      </c>
      <c r="J16" s="52" t="s">
        <v>137</v>
      </c>
      <c r="K16" s="51" t="s">
        <v>138</v>
      </c>
      <c r="L16" s="51" t="s">
        <v>139</v>
      </c>
      <c r="M16" s="52" t="s">
        <v>103</v>
      </c>
      <c r="N16" s="52" t="s">
        <v>104</v>
      </c>
      <c r="O16" s="53" t="s">
        <v>119</v>
      </c>
      <c r="P16" s="54" t="s">
        <v>140</v>
      </c>
    </row>
    <row r="17" spans="1:16" ht="12.75" customHeight="1" thickBot="1">
      <c r="A17" s="13" t="str">
        <f t="shared" si="0"/>
        <v>BAVM 234 </v>
      </c>
      <c r="B17" s="3" t="str">
        <f t="shared" si="1"/>
        <v>I</v>
      </c>
      <c r="C17" s="13">
        <f t="shared" si="2"/>
        <v>56014.5355</v>
      </c>
      <c r="D17" s="15" t="str">
        <f t="shared" si="3"/>
        <v>vis</v>
      </c>
      <c r="E17" s="50">
        <f>VLOOKUP(C17,A!C$21:E$973,3,FALSE)</f>
        <v>8178.950514820127</v>
      </c>
      <c r="F17" s="3" t="s">
        <v>56</v>
      </c>
      <c r="G17" s="15" t="str">
        <f t="shared" si="4"/>
        <v>56014.5355</v>
      </c>
      <c r="H17" s="13">
        <f t="shared" si="5"/>
        <v>8179</v>
      </c>
      <c r="I17" s="51" t="s">
        <v>141</v>
      </c>
      <c r="J17" s="52" t="s">
        <v>142</v>
      </c>
      <c r="K17" s="51" t="s">
        <v>143</v>
      </c>
      <c r="L17" s="51" t="s">
        <v>144</v>
      </c>
      <c r="M17" s="52" t="s">
        <v>103</v>
      </c>
      <c r="N17" s="52" t="s">
        <v>94</v>
      </c>
      <c r="O17" s="53" t="s">
        <v>145</v>
      </c>
      <c r="P17" s="54" t="s">
        <v>146</v>
      </c>
    </row>
    <row r="18" spans="1:16" ht="12.75" customHeight="1" thickBot="1">
      <c r="A18" s="13" t="str">
        <f t="shared" si="0"/>
        <v>BAVM 239 </v>
      </c>
      <c r="B18" s="3" t="str">
        <f t="shared" si="1"/>
        <v>I</v>
      </c>
      <c r="C18" s="13">
        <f t="shared" si="2"/>
        <v>56937.3271</v>
      </c>
      <c r="D18" s="15" t="str">
        <f t="shared" si="3"/>
        <v>vis</v>
      </c>
      <c r="E18" s="50">
        <f>VLOOKUP(C18,A!C$21:E$973,3,FALSE)</f>
        <v>8543.94947020481</v>
      </c>
      <c r="F18" s="3" t="s">
        <v>56</v>
      </c>
      <c r="G18" s="15" t="str">
        <f t="shared" si="4"/>
        <v>56937.3271</v>
      </c>
      <c r="H18" s="13">
        <f t="shared" si="5"/>
        <v>8544</v>
      </c>
      <c r="I18" s="51" t="s">
        <v>147</v>
      </c>
      <c r="J18" s="52" t="s">
        <v>148</v>
      </c>
      <c r="K18" s="51" t="s">
        <v>149</v>
      </c>
      <c r="L18" s="51" t="s">
        <v>150</v>
      </c>
      <c r="M18" s="52" t="s">
        <v>103</v>
      </c>
      <c r="N18" s="52" t="s">
        <v>104</v>
      </c>
      <c r="O18" s="53" t="s">
        <v>119</v>
      </c>
      <c r="P18" s="54" t="s">
        <v>151</v>
      </c>
    </row>
    <row r="19" spans="1:16" ht="12.75" customHeight="1" thickBot="1">
      <c r="A19" s="13" t="str">
        <f t="shared" si="0"/>
        <v> AHSB 6.1.34 </v>
      </c>
      <c r="B19" s="3" t="str">
        <f t="shared" si="1"/>
        <v>I</v>
      </c>
      <c r="C19" s="13">
        <f t="shared" si="2"/>
        <v>32775.415</v>
      </c>
      <c r="D19" s="15" t="str">
        <f t="shared" si="3"/>
        <v>vis</v>
      </c>
      <c r="E19" s="50">
        <f>VLOOKUP(C19,A!C$21:E$973,3,FALSE)</f>
        <v>-1012.9999825172292</v>
      </c>
      <c r="F19" s="3" t="s">
        <v>56</v>
      </c>
      <c r="G19" s="15" t="str">
        <f t="shared" si="4"/>
        <v>32775.415</v>
      </c>
      <c r="H19" s="13">
        <f t="shared" si="5"/>
        <v>-1013</v>
      </c>
      <c r="I19" s="51" t="s">
        <v>59</v>
      </c>
      <c r="J19" s="52" t="s">
        <v>60</v>
      </c>
      <c r="K19" s="51">
        <v>-1013</v>
      </c>
      <c r="L19" s="51" t="s">
        <v>61</v>
      </c>
      <c r="M19" s="52" t="s">
        <v>62</v>
      </c>
      <c r="N19" s="52"/>
      <c r="O19" s="53" t="s">
        <v>63</v>
      </c>
      <c r="P19" s="53" t="s">
        <v>64</v>
      </c>
    </row>
    <row r="20" spans="1:16" ht="12.75" customHeight="1" thickBot="1">
      <c r="A20" s="13" t="str">
        <f t="shared" si="0"/>
        <v> AHSB 6.1.34 </v>
      </c>
      <c r="B20" s="3" t="str">
        <f t="shared" si="1"/>
        <v>I</v>
      </c>
      <c r="C20" s="13">
        <f t="shared" si="2"/>
        <v>33895.41</v>
      </c>
      <c r="D20" s="15" t="str">
        <f t="shared" si="3"/>
        <v>vis</v>
      </c>
      <c r="E20" s="50">
        <f>VLOOKUP(C20,A!C$21:E$973,3,FALSE)</f>
        <v>-569.9996289855465</v>
      </c>
      <c r="F20" s="3" t="s">
        <v>56</v>
      </c>
      <c r="G20" s="15" t="str">
        <f t="shared" si="4"/>
        <v>33895.410</v>
      </c>
      <c r="H20" s="13">
        <f t="shared" si="5"/>
        <v>-570</v>
      </c>
      <c r="I20" s="51" t="s">
        <v>65</v>
      </c>
      <c r="J20" s="52" t="s">
        <v>66</v>
      </c>
      <c r="K20" s="51">
        <v>-570</v>
      </c>
      <c r="L20" s="51" t="s">
        <v>67</v>
      </c>
      <c r="M20" s="52" t="s">
        <v>62</v>
      </c>
      <c r="N20" s="52"/>
      <c r="O20" s="53" t="s">
        <v>63</v>
      </c>
      <c r="P20" s="53" t="s">
        <v>64</v>
      </c>
    </row>
    <row r="21" spans="1:16" ht="12.75" customHeight="1" thickBot="1">
      <c r="A21" s="13" t="str">
        <f t="shared" si="0"/>
        <v> AHSB 6.1.34 </v>
      </c>
      <c r="B21" s="3" t="str">
        <f t="shared" si="1"/>
        <v>I</v>
      </c>
      <c r="C21" s="13">
        <f t="shared" si="2"/>
        <v>35020.475</v>
      </c>
      <c r="D21" s="15" t="str">
        <f t="shared" si="3"/>
        <v>vis</v>
      </c>
      <c r="E21" s="50">
        <f>VLOOKUP(C21,A!C$21:E$973,3,FALSE)</f>
        <v>-124.99389882950162</v>
      </c>
      <c r="F21" s="3" t="s">
        <v>56</v>
      </c>
      <c r="G21" s="15" t="str">
        <f t="shared" si="4"/>
        <v>35020.475</v>
      </c>
      <c r="H21" s="13">
        <f t="shared" si="5"/>
        <v>-125</v>
      </c>
      <c r="I21" s="51" t="s">
        <v>68</v>
      </c>
      <c r="J21" s="52" t="s">
        <v>69</v>
      </c>
      <c r="K21" s="51">
        <v>-125</v>
      </c>
      <c r="L21" s="51" t="s">
        <v>70</v>
      </c>
      <c r="M21" s="52" t="s">
        <v>62</v>
      </c>
      <c r="N21" s="52"/>
      <c r="O21" s="53" t="s">
        <v>63</v>
      </c>
      <c r="P21" s="53" t="s">
        <v>64</v>
      </c>
    </row>
    <row r="22" spans="1:16" ht="12.75" customHeight="1" thickBot="1">
      <c r="A22" s="13" t="str">
        <f t="shared" si="0"/>
        <v> AHSB 6.1.34 </v>
      </c>
      <c r="B22" s="3" t="str">
        <f t="shared" si="1"/>
        <v>I</v>
      </c>
      <c r="C22" s="13">
        <f t="shared" si="2"/>
        <v>35336.482</v>
      </c>
      <c r="D22" s="15" t="str">
        <f t="shared" si="3"/>
        <v>vis</v>
      </c>
      <c r="E22" s="50">
        <f>VLOOKUP(C22,A!C$21:E$973,3,FALSE)</f>
        <v>-0.0011866133860009844</v>
      </c>
      <c r="F22" s="3" t="s">
        <v>56</v>
      </c>
      <c r="G22" s="15" t="str">
        <f t="shared" si="4"/>
        <v>35336.482</v>
      </c>
      <c r="H22" s="13">
        <f t="shared" si="5"/>
        <v>0</v>
      </c>
      <c r="I22" s="51" t="s">
        <v>71</v>
      </c>
      <c r="J22" s="52" t="s">
        <v>72</v>
      </c>
      <c r="K22" s="51">
        <v>0</v>
      </c>
      <c r="L22" s="51" t="s">
        <v>58</v>
      </c>
      <c r="M22" s="52" t="s">
        <v>62</v>
      </c>
      <c r="N22" s="52"/>
      <c r="O22" s="53" t="s">
        <v>63</v>
      </c>
      <c r="P22" s="53" t="s">
        <v>64</v>
      </c>
    </row>
    <row r="23" spans="1:16" ht="12.75" customHeight="1" thickBot="1">
      <c r="A23" s="13" t="str">
        <f t="shared" si="0"/>
        <v> AHSB 6.1.34 </v>
      </c>
      <c r="B23" s="3" t="str">
        <f t="shared" si="1"/>
        <v>I</v>
      </c>
      <c r="C23" s="13">
        <f t="shared" si="2"/>
        <v>35341.545</v>
      </c>
      <c r="D23" s="15" t="str">
        <f t="shared" si="3"/>
        <v>vis</v>
      </c>
      <c r="E23" s="50">
        <f>VLOOKUP(C23,A!C$21:E$973,3,FALSE)</f>
        <v>2.001421246406706</v>
      </c>
      <c r="F23" s="3" t="s">
        <v>56</v>
      </c>
      <c r="G23" s="15" t="str">
        <f t="shared" si="4"/>
        <v>35341.545</v>
      </c>
      <c r="H23" s="13">
        <f t="shared" si="5"/>
        <v>2</v>
      </c>
      <c r="I23" s="51" t="s">
        <v>73</v>
      </c>
      <c r="J23" s="52" t="s">
        <v>74</v>
      </c>
      <c r="K23" s="51">
        <v>2</v>
      </c>
      <c r="L23" s="51" t="s">
        <v>75</v>
      </c>
      <c r="M23" s="52" t="s">
        <v>62</v>
      </c>
      <c r="N23" s="52"/>
      <c r="O23" s="53" t="s">
        <v>63</v>
      </c>
      <c r="P23" s="53" t="s">
        <v>64</v>
      </c>
    </row>
    <row r="24" spans="1:16" ht="12.75" customHeight="1" thickBot="1">
      <c r="A24" s="13" t="str">
        <f t="shared" si="0"/>
        <v> AHSB 6.1.34 </v>
      </c>
      <c r="B24" s="3" t="str">
        <f t="shared" si="1"/>
        <v>I</v>
      </c>
      <c r="C24" s="13">
        <f t="shared" si="2"/>
        <v>35369.35</v>
      </c>
      <c r="D24" s="15" t="str">
        <f t="shared" si="3"/>
        <v>vis</v>
      </c>
      <c r="E24" s="50">
        <f>VLOOKUP(C24,A!C$21:E$973,3,FALSE)</f>
        <v>12.999349656755449</v>
      </c>
      <c r="F24" s="3" t="s">
        <v>56</v>
      </c>
      <c r="G24" s="15" t="str">
        <f t="shared" si="4"/>
        <v>35369.350</v>
      </c>
      <c r="H24" s="13">
        <f t="shared" si="5"/>
        <v>13</v>
      </c>
      <c r="I24" s="51" t="s">
        <v>76</v>
      </c>
      <c r="J24" s="52" t="s">
        <v>77</v>
      </c>
      <c r="K24" s="51">
        <v>13</v>
      </c>
      <c r="L24" s="51" t="s">
        <v>78</v>
      </c>
      <c r="M24" s="52" t="s">
        <v>62</v>
      </c>
      <c r="N24" s="52"/>
      <c r="O24" s="53" t="s">
        <v>63</v>
      </c>
      <c r="P24" s="53" t="s">
        <v>64</v>
      </c>
    </row>
    <row r="25" spans="1:16" ht="12.75" customHeight="1" thickBot="1">
      <c r="A25" s="13" t="str">
        <f t="shared" si="0"/>
        <v> AHSB 6.1.34 </v>
      </c>
      <c r="B25" s="3" t="str">
        <f t="shared" si="1"/>
        <v>I</v>
      </c>
      <c r="C25" s="13">
        <f t="shared" si="2"/>
        <v>35374.402</v>
      </c>
      <c r="D25" s="15" t="str">
        <f t="shared" si="3"/>
        <v>vis</v>
      </c>
      <c r="E25" s="50">
        <f>VLOOKUP(C25,A!C$21:E$973,3,FALSE)</f>
        <v>14.997606600798527</v>
      </c>
      <c r="F25" s="3" t="s">
        <v>56</v>
      </c>
      <c r="G25" s="15" t="str">
        <f t="shared" si="4"/>
        <v>35374.402</v>
      </c>
      <c r="H25" s="13">
        <f t="shared" si="5"/>
        <v>15</v>
      </c>
      <c r="I25" s="51" t="s">
        <v>79</v>
      </c>
      <c r="J25" s="52" t="s">
        <v>80</v>
      </c>
      <c r="K25" s="51">
        <v>15</v>
      </c>
      <c r="L25" s="51" t="s">
        <v>81</v>
      </c>
      <c r="M25" s="52" t="s">
        <v>62</v>
      </c>
      <c r="N25" s="52"/>
      <c r="O25" s="53" t="s">
        <v>63</v>
      </c>
      <c r="P25" s="53" t="s">
        <v>64</v>
      </c>
    </row>
    <row r="26" spans="1:16" ht="12.75" customHeight="1" thickBot="1">
      <c r="A26" s="13" t="str">
        <f t="shared" si="0"/>
        <v> AHSB 6.1.34 </v>
      </c>
      <c r="B26" s="3" t="str">
        <f t="shared" si="1"/>
        <v>I</v>
      </c>
      <c r="C26" s="13">
        <f t="shared" si="2"/>
        <v>36810.424</v>
      </c>
      <c r="D26" s="15" t="str">
        <f t="shared" si="3"/>
        <v>vis</v>
      </c>
      <c r="E26" s="50">
        <f>VLOOKUP(C26,A!C$21:E$973,3,FALSE)</f>
        <v>582.9985831045075</v>
      </c>
      <c r="F26" s="3" t="s">
        <v>56</v>
      </c>
      <c r="G26" s="15" t="str">
        <f t="shared" si="4"/>
        <v>36810.424</v>
      </c>
      <c r="H26" s="13">
        <f t="shared" si="5"/>
        <v>583</v>
      </c>
      <c r="I26" s="51" t="s">
        <v>82</v>
      </c>
      <c r="J26" s="52" t="s">
        <v>83</v>
      </c>
      <c r="K26" s="51">
        <v>583</v>
      </c>
      <c r="L26" s="51" t="s">
        <v>84</v>
      </c>
      <c r="M26" s="52" t="s">
        <v>62</v>
      </c>
      <c r="N26" s="52"/>
      <c r="O26" s="53" t="s">
        <v>63</v>
      </c>
      <c r="P26" s="53" t="s">
        <v>64</v>
      </c>
    </row>
    <row r="27" spans="1:16" ht="12.75" customHeight="1" thickBot="1">
      <c r="A27" s="13" t="str">
        <f t="shared" si="0"/>
        <v> AHSB 6.1.34 </v>
      </c>
      <c r="B27" s="3" t="str">
        <f t="shared" si="1"/>
        <v>I</v>
      </c>
      <c r="C27" s="13">
        <f t="shared" si="2"/>
        <v>36815.492</v>
      </c>
      <c r="D27" s="15" t="str">
        <f t="shared" si="3"/>
        <v>vis</v>
      </c>
      <c r="E27" s="50">
        <f>VLOOKUP(C27,A!C$21:E$973,3,FALSE)</f>
        <v>585.0031686532807</v>
      </c>
      <c r="F27" s="3" t="s">
        <v>56</v>
      </c>
      <c r="G27" s="15" t="str">
        <f t="shared" si="4"/>
        <v>36815.492</v>
      </c>
      <c r="H27" s="13">
        <f t="shared" si="5"/>
        <v>585</v>
      </c>
      <c r="I27" s="51" t="s">
        <v>85</v>
      </c>
      <c r="J27" s="52" t="s">
        <v>86</v>
      </c>
      <c r="K27" s="51">
        <v>585</v>
      </c>
      <c r="L27" s="51" t="s">
        <v>87</v>
      </c>
      <c r="M27" s="52" t="s">
        <v>62</v>
      </c>
      <c r="N27" s="52"/>
      <c r="O27" s="53" t="s">
        <v>63</v>
      </c>
      <c r="P27" s="53" t="s">
        <v>64</v>
      </c>
    </row>
    <row r="28" spans="1:16" ht="12.75" customHeight="1" thickBot="1">
      <c r="A28" s="13" t="str">
        <f t="shared" si="0"/>
        <v> AHSB 6.1.34 </v>
      </c>
      <c r="B28" s="3" t="str">
        <f t="shared" si="1"/>
        <v>I</v>
      </c>
      <c r="C28" s="13">
        <f t="shared" si="2"/>
        <v>36848.351</v>
      </c>
      <c r="D28" s="15" t="str">
        <f t="shared" si="3"/>
        <v>vis</v>
      </c>
      <c r="E28" s="50">
        <f>VLOOKUP(C28,A!C$21:E$973,3,FALSE)</f>
        <v>598.0001450832641</v>
      </c>
      <c r="F28" s="3" t="s">
        <v>56</v>
      </c>
      <c r="G28" s="15" t="str">
        <f t="shared" si="4"/>
        <v>36848.351</v>
      </c>
      <c r="H28" s="13">
        <f t="shared" si="5"/>
        <v>598</v>
      </c>
      <c r="I28" s="51" t="s">
        <v>88</v>
      </c>
      <c r="J28" s="52" t="s">
        <v>89</v>
      </c>
      <c r="K28" s="51">
        <v>598</v>
      </c>
      <c r="L28" s="51" t="s">
        <v>61</v>
      </c>
      <c r="M28" s="52" t="s">
        <v>62</v>
      </c>
      <c r="N28" s="52"/>
      <c r="O28" s="53" t="s">
        <v>63</v>
      </c>
      <c r="P28" s="53" t="s">
        <v>64</v>
      </c>
    </row>
    <row r="29" spans="1:16" ht="12.75" customHeight="1" thickBot="1">
      <c r="A29" s="13" t="str">
        <f t="shared" si="0"/>
        <v>BAVM 68 </v>
      </c>
      <c r="B29" s="3" t="str">
        <f t="shared" si="1"/>
        <v>I</v>
      </c>
      <c r="C29" s="13">
        <f t="shared" si="2"/>
        <v>49140.4123</v>
      </c>
      <c r="D29" s="15" t="str">
        <f t="shared" si="3"/>
        <v>vis</v>
      </c>
      <c r="E29" s="50">
        <f>VLOOKUP(C29,A!C$21:E$973,3,FALSE)</f>
        <v>5459.974976696892</v>
      </c>
      <c r="F29" s="3" t="s">
        <v>56</v>
      </c>
      <c r="G29" s="15" t="str">
        <f t="shared" si="4"/>
        <v>49140.4123</v>
      </c>
      <c r="H29" s="13">
        <f t="shared" si="5"/>
        <v>5460</v>
      </c>
      <c r="I29" s="51" t="s">
        <v>90</v>
      </c>
      <c r="J29" s="52" t="s">
        <v>91</v>
      </c>
      <c r="K29" s="51">
        <v>5460</v>
      </c>
      <c r="L29" s="51" t="s">
        <v>92</v>
      </c>
      <c r="M29" s="52" t="s">
        <v>93</v>
      </c>
      <c r="N29" s="52" t="s">
        <v>94</v>
      </c>
      <c r="O29" s="53" t="s">
        <v>95</v>
      </c>
      <c r="P29" s="54" t="s">
        <v>96</v>
      </c>
    </row>
    <row r="30" spans="1:16" ht="12.75" customHeight="1" thickBot="1">
      <c r="A30" s="13" t="str">
        <f t="shared" si="0"/>
        <v>BAVM 68 </v>
      </c>
      <c r="B30" s="3" t="str">
        <f t="shared" si="1"/>
        <v>I</v>
      </c>
      <c r="C30" s="13">
        <f t="shared" si="2"/>
        <v>49236.4831</v>
      </c>
      <c r="D30" s="15" t="str">
        <f t="shared" si="3"/>
        <v>vis</v>
      </c>
      <c r="E30" s="50">
        <f>VLOOKUP(C30,A!C$21:E$973,3,FALSE)</f>
        <v>5497.97460916317</v>
      </c>
      <c r="F30" s="3" t="s">
        <v>56</v>
      </c>
      <c r="G30" s="15" t="str">
        <f t="shared" si="4"/>
        <v>49236.4831</v>
      </c>
      <c r="H30" s="13">
        <f t="shared" si="5"/>
        <v>5498</v>
      </c>
      <c r="I30" s="51" t="s">
        <v>97</v>
      </c>
      <c r="J30" s="52" t="s">
        <v>98</v>
      </c>
      <c r="K30" s="51">
        <v>5498</v>
      </c>
      <c r="L30" s="51" t="s">
        <v>99</v>
      </c>
      <c r="M30" s="52" t="s">
        <v>93</v>
      </c>
      <c r="N30" s="52" t="s">
        <v>94</v>
      </c>
      <c r="O30" s="53" t="s">
        <v>95</v>
      </c>
      <c r="P30" s="54" t="s">
        <v>96</v>
      </c>
    </row>
    <row r="31" spans="1:16" ht="12.75" customHeight="1" thickBot="1">
      <c r="A31" s="13" t="str">
        <f t="shared" si="0"/>
        <v>BAVM 212 </v>
      </c>
      <c r="B31" s="3" t="str">
        <f t="shared" si="1"/>
        <v>I</v>
      </c>
      <c r="C31" s="13">
        <f t="shared" si="2"/>
        <v>55061.4172</v>
      </c>
      <c r="D31" s="15" t="str">
        <f t="shared" si="3"/>
        <v>vis</v>
      </c>
      <c r="E31" s="50">
        <f>VLOOKUP(C31,A!C$21:E$973,3,FALSE)</f>
        <v>7801.9562033656</v>
      </c>
      <c r="F31" s="3" t="s">
        <v>56</v>
      </c>
      <c r="G31" s="15" t="str">
        <f t="shared" si="4"/>
        <v>55061.4172</v>
      </c>
      <c r="H31" s="13">
        <f t="shared" si="5"/>
        <v>7802</v>
      </c>
      <c r="I31" s="51" t="s">
        <v>121</v>
      </c>
      <c r="J31" s="52" t="s">
        <v>122</v>
      </c>
      <c r="K31" s="51" t="s">
        <v>123</v>
      </c>
      <c r="L31" s="51" t="s">
        <v>124</v>
      </c>
      <c r="M31" s="52" t="s">
        <v>103</v>
      </c>
      <c r="N31" s="52" t="s">
        <v>94</v>
      </c>
      <c r="O31" s="53" t="s">
        <v>125</v>
      </c>
      <c r="P31" s="54" t="s">
        <v>126</v>
      </c>
    </row>
    <row r="32" spans="1:16" ht="12.75" customHeight="1" thickBot="1">
      <c r="A32" s="13" t="str">
        <f t="shared" si="0"/>
        <v>BAVM 212 </v>
      </c>
      <c r="B32" s="3" t="str">
        <f t="shared" si="1"/>
        <v>I</v>
      </c>
      <c r="C32" s="13">
        <f t="shared" si="2"/>
        <v>55066.469</v>
      </c>
      <c r="D32" s="15" t="str">
        <f t="shared" si="3"/>
        <v>vis</v>
      </c>
      <c r="E32" s="50">
        <f>VLOOKUP(C32,A!C$21:E$973,3,FALSE)</f>
        <v>7803.95438120208</v>
      </c>
      <c r="F32" s="3" t="s">
        <v>56</v>
      </c>
      <c r="G32" s="15" t="str">
        <f t="shared" si="4"/>
        <v>55066.4690</v>
      </c>
      <c r="H32" s="13">
        <f t="shared" si="5"/>
        <v>7804</v>
      </c>
      <c r="I32" s="51" t="s">
        <v>127</v>
      </c>
      <c r="J32" s="52" t="s">
        <v>128</v>
      </c>
      <c r="K32" s="51" t="s">
        <v>129</v>
      </c>
      <c r="L32" s="51" t="s">
        <v>130</v>
      </c>
      <c r="M32" s="52" t="s">
        <v>103</v>
      </c>
      <c r="N32" s="52" t="s">
        <v>104</v>
      </c>
      <c r="O32" s="53" t="s">
        <v>119</v>
      </c>
      <c r="P32" s="54" t="s">
        <v>126</v>
      </c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</sheetData>
  <sheetProtection/>
  <hyperlinks>
    <hyperlink ref="P29" r:id="rId1" display="http://www.bav-astro.de/sfs/BAVM_link.php?BAVMnr=68"/>
    <hyperlink ref="P30" r:id="rId2" display="http://www.bav-astro.de/sfs/BAVM_link.php?BAVMnr=68"/>
    <hyperlink ref="P11" r:id="rId3" display="http://www.bav-astro.de/sfs/BAVM_link.php?BAVMnr=178"/>
    <hyperlink ref="P12" r:id="rId4" display="http://www.bav-astro.de/sfs/BAVM_link.php?BAVMnr=178"/>
    <hyperlink ref="P13" r:id="rId5" display="http://www.bav-astro.de/sfs/BAVM_link.php?BAVMnr=178"/>
    <hyperlink ref="P14" r:id="rId6" display="http://www.bav-astro.de/sfs/BAVM_link.php?BAVMnr=186"/>
    <hyperlink ref="P31" r:id="rId7" display="http://www.bav-astro.de/sfs/BAVM_link.php?BAVMnr=212"/>
    <hyperlink ref="P32" r:id="rId8" display="http://www.bav-astro.de/sfs/BAVM_link.php?BAVMnr=212"/>
    <hyperlink ref="P15" r:id="rId9" display="http://www.bav-astro.de/sfs/BAVM_link.php?BAVMnr=215"/>
    <hyperlink ref="P16" r:id="rId10" display="http://www.bav-astro.de/sfs/BAVM_link.php?BAVMnr=220"/>
    <hyperlink ref="P17" r:id="rId11" display="http://www.bav-astro.de/sfs/BAVM_link.php?BAVMnr=234"/>
    <hyperlink ref="P18" r:id="rId12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