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2760" windowWidth="8535" windowHeight="1320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<sst xmlns="http://schemas.openxmlformats.org/spreadsheetml/2006/main" count="109" uniqueCount="79">
  <si>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</si>
  <si>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</si>
  <si>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</si>
  <si>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</si>
  <si>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</si>
  <si>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</si>
  <si>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</si>
  <si>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</si>
  <si>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</si>
  <si>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</si>
  <si>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</si>
  <si>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</si>
  <si>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</si>
  <si>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</si>
  <si>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</si>
  <si>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</si>
  <si>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</si>
  <si>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</si>
  <si>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</si>
  <si>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</si>
  <si>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</si>
  <si>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</si>
  <si>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</si>
  <si>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</si>
  <si>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</si>
  <si>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</si>
  <si>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S5</t>
  </si>
  <si>
    <t>S6</t>
  </si>
  <si>
    <t>Misc</t>
  </si>
  <si>
    <t># of data points:</t>
  </si>
  <si>
    <t>IBVS 5713</t>
  </si>
  <si>
    <t>I</t>
  </si>
  <si>
    <t>EA</t>
  </si>
  <si>
    <t>V1355 Cyg / ??</t>
  </si>
  <si>
    <t>OEJV 0160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</si>
  <si>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</si>
  <si>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</si>
  <si>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</si>
  <si>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</si>
  <si>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</si>
  <si>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</si>
  <si>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</si>
  <si>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</si>
  <si>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</si>
  <si>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</si>
  <si>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</si>
  <si>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</si>
  <si>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</si>
  <si>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</si>
  <si>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</si>
  <si>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</si>
  <si>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</si>
  <si>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</si>
  <si>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</si>
  <si>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2452135.518 </t>
  </si>
  <si>
    <t> 14.08.2001 00:25 </t>
  </si>
  <si>
    <t> 0.037 </t>
  </si>
  <si>
    <t>E </t>
  </si>
  <si>
    <t>?</t>
  </si>
  <si>
    <t> R.Diethelm </t>
  </si>
  <si>
    <t> BBS 126 </t>
  </si>
  <si>
    <t>2453660.306 </t>
  </si>
  <si>
    <t> 16.10.2005 19:20 </t>
  </si>
  <si>
    <t> 0.045 </t>
  </si>
  <si>
    <t> R. Diethelm </t>
  </si>
  <si>
    <t>IBVS 5713 </t>
  </si>
  <si>
    <t>2453900.4933 </t>
  </si>
  <si>
    <t> 13.06.2006 23:50 </t>
  </si>
  <si>
    <t> 0.0438 </t>
  </si>
  <si>
    <t>2455728.7909 </t>
  </si>
  <si>
    <t> 16.06.2011 06:58 </t>
  </si>
  <si>
    <t> 0.0392 </t>
  </si>
  <si>
    <t>C </t>
  </si>
  <si>
    <t>IBVS 5992 </t>
  </si>
  <si>
    <t>2455794.52258 </t>
  </si>
  <si>
    <t> 21.08.2011 00:32 </t>
  </si>
  <si>
    <t> 0.04765 </t>
  </si>
  <si>
    <t> J.Trnka </t>
  </si>
  <si>
    <t>OEJV 0160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</si>
</sst>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V1366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5"/>
          <c:w val="0.9062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0.0002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0.0002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0.0002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0.0002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0.0002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0.0002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0.0002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0.0002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0.0002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0.0002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0.0002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0.0002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3575679"/>
        <c:axId val="33745656"/>
      </c:scatterChart>
      <c:valAx>
        <c:axId val="3357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656"/>
        <c:crosses val="autoZero"/>
        <c:crossBetween val="midCat"/>
        <c:dispUnits/>
      </c:valAx>
      <c:valAx>
        <c:axId val="337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567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65"/>
          <c:y val="0.931"/>
          <c:w val="0.687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47625</xdr:rowOff>
    </xdr:from>
    <xdr:to>
      <xdr:col>16</xdr:col>
      <xdr:colOff>495300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695825" y="47625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713" TargetMode="External" /><Relationship Id="rId2" Type="http://schemas.openxmlformats.org/officeDocument/2006/relationships/hyperlink" Target="http://www.konkoly.hu/cgi-bin/IBVS?5713" TargetMode="External" /><Relationship Id="rId3" Type="http://schemas.openxmlformats.org/officeDocument/2006/relationships/hyperlink" Target="http://www.konkoly.hu/cgi-bin/IBVS?5992" TargetMode="External" /><Relationship Id="rId4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E7" sqref="E7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4" ht="12.75">
      <c r="A2" t="s">
        <v>25</v>
      </c>
      <c r="B2" t="s">
        <v>32</v>
      </c>
      <c r="C2" s="6"/>
      <c r="D2" s="6"/>
    </row>
    <row r="3" ht="13.5" thickBot="1"/>
    <row r="4" spans="1:4" ht="14.25" thickBot="1" thickTop="1">
      <c r="A4" s="8" t="s">
        <v>0</v>
      </c>
      <c r="C4" s="13">
        <v>33015.981</v>
      </c>
      <c r="D4" s="14">
        <v>1.19496873</v>
      </c>
    </row>
    <row r="5" spans="1:4" ht="13.5" thickTop="1">
      <c r="A5" s="25" t="s">
        <v>35</v>
      </c>
      <c r="B5" s="26"/>
      <c r="C5" s="27">
        <v>-9.5</v>
      </c>
      <c r="D5" s="26" t="s">
        <v>36</v>
      </c>
    </row>
    <row r="6" ht="12.75">
      <c r="A6" s="8" t="s">
        <v>1</v>
      </c>
    </row>
    <row r="7" spans="1:3" ht="12.75">
      <c r="A7" t="s">
        <v>2</v>
      </c>
      <c r="C7">
        <f>+C4</f>
        <v>33015.981</v>
      </c>
    </row>
    <row r="8" spans="1:3" ht="12.75">
      <c r="A8" t="s">
        <v>3</v>
      </c>
      <c r="C8">
        <f>+D4</f>
        <v>1.19496873</v>
      </c>
    </row>
    <row r="9" spans="1:4" ht="12.75">
      <c r="A9" s="30" t="s">
        <v>37</v>
      </c>
      <c r="B9" s="31">
        <v>21</v>
      </c>
      <c r="C9" s="28" t="str">
        <f>"F"&amp;B9</f>
        <v>F21</v>
      </c>
      <c r="D9" s="29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16">
        <f ca="1">INTERCEPT(INDIRECT($D$9):G992,INDIRECT($C$9):F992)</f>
        <v>0.00032487987291150017</v>
      </c>
      <c r="D11" s="6"/>
    </row>
    <row r="12" spans="1:4" ht="12.75">
      <c r="A12" t="s">
        <v>17</v>
      </c>
      <c r="C12" s="16">
        <f ca="1">SLOPE(INDIRECT($D$9):G992,INDIRECT($C$9):F992)</f>
        <v>2.378855021913218E-06</v>
      </c>
      <c r="D12" s="6"/>
    </row>
    <row r="13" spans="1:3" ht="12.75">
      <c r="A13" t="s">
        <v>19</v>
      </c>
      <c r="C13" s="6" t="s">
        <v>14</v>
      </c>
    </row>
    <row r="14" ht="12.75">
      <c r="A14" t="s">
        <v>24</v>
      </c>
    </row>
    <row r="15" spans="1:6" ht="12.75">
      <c r="A15" s="3" t="s">
        <v>18</v>
      </c>
      <c r="C15" s="11">
        <f>($C$7+C$11)+($C$8+C$12)*INT(MAX($F21:$F3533))</f>
        <v>55794.520601874305</v>
      </c>
      <c r="E15" s="32" t="s">
        <v>38</v>
      </c>
      <c r="F15" s="27">
        <v>1</v>
      </c>
    </row>
    <row r="16" spans="1:6" ht="12.75">
      <c r="A16" s="8" t="s">
        <v>4</v>
      </c>
      <c r="C16" s="12">
        <f>+$C$8+C$12</f>
        <v>1.194971108855022</v>
      </c>
      <c r="E16" s="32" t="s">
        <v>39</v>
      </c>
      <c r="F16" s="33">
        <f ca="1">NOW()+15018.5+$C$5/24</f>
        <v>59897.51005335648</v>
      </c>
    </row>
    <row r="17" spans="1:6" ht="13.5" thickBot="1">
      <c r="A17" s="15" t="s">
        <v>29</v>
      </c>
      <c r="C17">
        <f>COUNT(C21:C2191)</f>
        <v>6</v>
      </c>
      <c r="E17" s="32" t="s">
        <v>40</v>
      </c>
      <c r="F17" s="33">
        <f>ROUND(2*(F16-$C$7)/$C$8,0)/2+F15</f>
        <v>22496.5</v>
      </c>
    </row>
    <row r="18" spans="1:6" ht="14.25" thickBot="1" thickTop="1">
      <c r="A18" s="8" t="s">
        <v>5</v>
      </c>
      <c r="C18" s="4">
        <f>+C15</f>
        <v>55794.520601874305</v>
      </c>
      <c r="D18" s="5">
        <f>+C16</f>
        <v>1.194971108855022</v>
      </c>
      <c r="E18" s="32" t="s">
        <v>41</v>
      </c>
      <c r="F18" s="29">
        <f>ROUND(2*(F16-$C$15)/$C$16,0)/2+F15</f>
        <v>3434.5</v>
      </c>
    </row>
    <row r="19" spans="5:6" ht="13.5" thickTop="1">
      <c r="E19" s="32" t="s">
        <v>42</v>
      </c>
      <c r="F19" s="34">
        <f>+$C$15+$C$16*F18-15018.5-$C$5/24</f>
        <v>44880.54470857021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50</v>
      </c>
      <c r="I20" s="10" t="s">
        <v>53</v>
      </c>
      <c r="J20" s="10" t="s">
        <v>47</v>
      </c>
      <c r="K20" s="10" t="s">
        <v>45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</row>
    <row r="21" spans="1:17" ht="12.75">
      <c r="A21" s="18" t="s">
        <v>12</v>
      </c>
      <c r="B21" s="18"/>
      <c r="C21" s="19">
        <v>33015.981</v>
      </c>
      <c r="D21" s="19" t="s">
        <v>14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0.00032487987291150017</v>
      </c>
      <c r="Q21" s="2">
        <f aca="true" t="shared" si="4" ref="Q21:Q26">+C21-15018.5</f>
        <v>17997.481</v>
      </c>
    </row>
    <row r="22" spans="1:17" ht="12.75">
      <c r="A22" s="20" t="s">
        <v>30</v>
      </c>
      <c r="B22" s="21" t="s">
        <v>31</v>
      </c>
      <c r="C22" s="19">
        <v>53660.306</v>
      </c>
      <c r="D22" s="19">
        <v>0.005</v>
      </c>
      <c r="E22">
        <f t="shared" si="0"/>
        <v>17276.037842429563</v>
      </c>
      <c r="F22">
        <f t="shared" si="1"/>
        <v>17276</v>
      </c>
      <c r="G22">
        <f t="shared" si="2"/>
        <v>0.04522051999811083</v>
      </c>
      <c r="J22">
        <f>+G22</f>
        <v>0.04522051999811083</v>
      </c>
      <c r="O22">
        <f t="shared" si="3"/>
        <v>0.04142197923148425</v>
      </c>
      <c r="Q22" s="2">
        <f t="shared" si="4"/>
        <v>38641.806</v>
      </c>
    </row>
    <row r="23" spans="1:17" ht="12.75">
      <c r="A23" s="20" t="s">
        <v>30</v>
      </c>
      <c r="B23" s="21" t="s">
        <v>31</v>
      </c>
      <c r="C23" s="19">
        <v>53900.4933</v>
      </c>
      <c r="D23" s="19">
        <v>0.0014</v>
      </c>
      <c r="E23">
        <f t="shared" si="0"/>
        <v>17477.036658524114</v>
      </c>
      <c r="F23">
        <f t="shared" si="1"/>
        <v>17477</v>
      </c>
      <c r="G23">
        <f t="shared" si="2"/>
        <v>0.043805790002807043</v>
      </c>
      <c r="J23">
        <f>+G23</f>
        <v>0.043805790002807043</v>
      </c>
      <c r="O23">
        <f t="shared" si="3"/>
        <v>0.04190012909088881</v>
      </c>
      <c r="Q23" s="2">
        <f t="shared" si="4"/>
        <v>38881.9933</v>
      </c>
    </row>
    <row r="24" spans="1:17" ht="12.75">
      <c r="A24" s="22" t="s">
        <v>34</v>
      </c>
      <c r="B24" s="23" t="s">
        <v>31</v>
      </c>
      <c r="C24" s="24">
        <v>55794.52258</v>
      </c>
      <c r="D24" s="24">
        <v>0.0002</v>
      </c>
      <c r="E24">
        <f t="shared" si="0"/>
        <v>19062.039874466</v>
      </c>
      <c r="F24">
        <f t="shared" si="1"/>
        <v>19062</v>
      </c>
      <c r="G24">
        <f t="shared" si="2"/>
        <v>0.04764873999374686</v>
      </c>
      <c r="K24">
        <f>+G24</f>
        <v>0.04764873999374686</v>
      </c>
      <c r="O24">
        <f t="shared" si="3"/>
        <v>0.04567061430062126</v>
      </c>
      <c r="Q24" s="2">
        <f t="shared" si="4"/>
        <v>40776.02258</v>
      </c>
    </row>
    <row r="25" spans="1:17" ht="12.75">
      <c r="A25" s="48" t="s">
        <v>73</v>
      </c>
      <c r="B25" s="50" t="s">
        <v>31</v>
      </c>
      <c r="C25" s="49">
        <v>55728.7909</v>
      </c>
      <c r="D25" s="49" t="s">
        <v>53</v>
      </c>
      <c r="E25">
        <f t="shared" si="0"/>
        <v>19007.032845118883</v>
      </c>
      <c r="F25">
        <f t="shared" si="1"/>
        <v>19007</v>
      </c>
      <c r="G25">
        <f t="shared" si="2"/>
        <v>0.03924889000336407</v>
      </c>
      <c r="K25">
        <f>+G25</f>
        <v>0.03924889000336407</v>
      </c>
      <c r="O25">
        <f t="shared" si="3"/>
        <v>0.045539777274416035</v>
      </c>
      <c r="Q25" s="2">
        <f t="shared" si="4"/>
        <v>40710.2909</v>
      </c>
    </row>
    <row r="26" spans="1:17" ht="12.75">
      <c r="A26" s="48" t="s">
        <v>60</v>
      </c>
      <c r="B26" s="50" t="s">
        <v>31</v>
      </c>
      <c r="C26" s="49">
        <v>52135.518</v>
      </c>
      <c r="D26" s="49" t="s">
        <v>53</v>
      </c>
      <c r="E26">
        <f t="shared" si="0"/>
        <v>16000.031230942752</v>
      </c>
      <c r="F26">
        <f t="shared" si="1"/>
        <v>16000</v>
      </c>
      <c r="G26">
        <f t="shared" si="2"/>
        <v>0.03731999999581603</v>
      </c>
      <c r="I26">
        <f>+G26</f>
        <v>0.03731999999581603</v>
      </c>
      <c r="O26">
        <f t="shared" si="3"/>
        <v>0.038386560223522985</v>
      </c>
      <c r="Q26" s="2">
        <f t="shared" si="4"/>
        <v>37117.018</v>
      </c>
    </row>
    <row r="27" spans="2:17" ht="12.75">
      <c r="B27" s="6"/>
      <c r="C27" s="17"/>
      <c r="D27" s="17"/>
      <c r="Q27" s="2"/>
    </row>
    <row r="28" spans="3:17" ht="12.75">
      <c r="C28" s="17"/>
      <c r="D28" s="17"/>
      <c r="Q28" s="2"/>
    </row>
    <row r="29" spans="3:17" ht="12.75">
      <c r="C29" s="17"/>
      <c r="D29" s="17"/>
      <c r="Q29" s="2"/>
    </row>
    <row r="30" spans="3:17" ht="12.75">
      <c r="C30" s="17"/>
      <c r="D30" s="17"/>
      <c r="Q30" s="2"/>
    </row>
    <row r="31" spans="3:17" ht="12.75">
      <c r="C31" s="17"/>
      <c r="D31" s="17"/>
      <c r="Q31" s="2"/>
    </row>
    <row r="32" spans="3:17" ht="12.75">
      <c r="C32" s="17"/>
      <c r="D32" s="17"/>
      <c r="Q32" s="2"/>
    </row>
    <row r="33" spans="3:17" ht="12.75">
      <c r="C33" s="17"/>
      <c r="D33" s="17"/>
      <c r="Q33" s="2"/>
    </row>
    <row r="34" spans="3:4" ht="12.75">
      <c r="C34" s="17"/>
      <c r="D34" s="17"/>
    </row>
    <row r="35" spans="3:4" ht="12.75">
      <c r="C35" s="17"/>
      <c r="D35" s="17"/>
    </row>
    <row r="36" spans="3:4" ht="12.75">
      <c r="C36" s="17"/>
      <c r="D36" s="17"/>
    </row>
    <row r="37" spans="3:4" ht="12.75">
      <c r="C37" s="17"/>
      <c r="D37" s="17"/>
    </row>
    <row r="38" spans="3:4" ht="12.75">
      <c r="C38" s="17"/>
      <c r="D38" s="17"/>
    </row>
    <row r="39" spans="3:4" ht="12.75">
      <c r="C39" s="17"/>
      <c r="D39" s="17"/>
    </row>
    <row r="40" spans="3:4" ht="12.75">
      <c r="C40" s="17"/>
      <c r="D40" s="17"/>
    </row>
    <row r="41" spans="3:4" ht="12.75">
      <c r="C41" s="17"/>
      <c r="D41" s="17"/>
    </row>
    <row r="42" spans="3:4" ht="12.75">
      <c r="C42" s="17"/>
      <c r="D42" s="17"/>
    </row>
    <row r="43" spans="3:4" ht="12.75">
      <c r="C43" s="17"/>
      <c r="D43" s="17"/>
    </row>
    <row r="44" spans="3:4" ht="12.75">
      <c r="C44" s="17"/>
      <c r="D44" s="17"/>
    </row>
    <row r="45" spans="3:4" ht="12.75"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7"/>
      <c r="D48" s="17"/>
    </row>
    <row r="49" spans="3:4" ht="12.75">
      <c r="C49" s="17"/>
      <c r="D49" s="17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  <row r="59" spans="3:4" ht="12.75">
      <c r="C59" s="17"/>
      <c r="D59" s="17"/>
    </row>
    <row r="60" spans="3:4" ht="12.75">
      <c r="C60" s="17"/>
      <c r="D60" s="17"/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7"/>
      <c r="D65" s="17"/>
    </row>
    <row r="66" spans="3:4" ht="12.75">
      <c r="C66" s="17"/>
      <c r="D66" s="17"/>
    </row>
    <row r="67" spans="3:4" ht="12.75">
      <c r="C67" s="17"/>
      <c r="D67" s="17"/>
    </row>
    <row r="68" spans="3:4" ht="12.75">
      <c r="C68" s="17"/>
      <c r="D68" s="17"/>
    </row>
    <row r="69" spans="3:4" ht="12.75">
      <c r="C69" s="17"/>
      <c r="D69" s="17"/>
    </row>
    <row r="70" spans="3:4" ht="12.75">
      <c r="C70" s="17"/>
      <c r="D70" s="17"/>
    </row>
    <row r="71" spans="3:4" ht="12.75">
      <c r="C71" s="17"/>
      <c r="D71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5"/>
  <sheetViews>
    <sheetView zoomScalePageLayoutView="0" workbookViewId="0" topLeftCell="A1">
      <selection activeCell="A15" sqref="A15:D16"/>
    </sheetView>
  </sheetViews>
  <sheetFormatPr defaultColWidth="9.140625" defaultRowHeight="12.75"/>
  <cols>
    <col min="1" max="1" width="19.7109375" style="17" customWidth="1"/>
    <col min="2" max="2" width="4.421875" style="26" customWidth="1"/>
    <col min="3" max="3" width="12.7109375" style="17" customWidth="1"/>
    <col min="4" max="4" width="5.421875" style="26" customWidth="1"/>
    <col min="5" max="5" width="14.8515625" style="26" customWidth="1"/>
    <col min="6" max="6" width="9.140625" style="26" customWidth="1"/>
    <col min="7" max="7" width="12.00390625" style="26" customWidth="1"/>
    <col min="8" max="8" width="14.140625" style="17" customWidth="1"/>
    <col min="9" max="9" width="22.57421875" style="26" customWidth="1"/>
    <col min="10" max="10" width="25.140625" style="26" customWidth="1"/>
    <col min="11" max="11" width="15.7109375" style="26" customWidth="1"/>
    <col min="12" max="12" width="14.140625" style="26" customWidth="1"/>
    <col min="13" max="13" width="9.57421875" style="26" customWidth="1"/>
    <col min="14" max="14" width="14.140625" style="26" customWidth="1"/>
    <col min="15" max="15" width="23.421875" style="26" customWidth="1"/>
    <col min="16" max="16" width="16.57421875" style="26" customWidth="1"/>
    <col min="17" max="17" width="41.00390625" style="26" customWidth="1"/>
    <col min="18" max="16384" width="9.140625" style="26" customWidth="1"/>
  </cols>
  <sheetData>
    <row r="1" spans="1:10" ht="15.75">
      <c r="A1" s="35" t="s">
        <v>43</v>
      </c>
      <c r="I1" s="36" t="s">
        <v>44</v>
      </c>
      <c r="J1" s="37" t="s">
        <v>45</v>
      </c>
    </row>
    <row r="2" spans="9:10" ht="12.75">
      <c r="I2" s="38" t="s">
        <v>46</v>
      </c>
      <c r="J2" s="39" t="s">
        <v>47</v>
      </c>
    </row>
    <row r="3" spans="1:10" ht="12.75">
      <c r="A3" s="40" t="s">
        <v>48</v>
      </c>
      <c r="I3" s="38" t="s">
        <v>49</v>
      </c>
      <c r="J3" s="39" t="s">
        <v>50</v>
      </c>
    </row>
    <row r="4" spans="9:10" ht="12.75">
      <c r="I4" s="38" t="s">
        <v>51</v>
      </c>
      <c r="J4" s="39" t="s">
        <v>50</v>
      </c>
    </row>
    <row r="5" spans="9:10" ht="13.5" thickBot="1">
      <c r="I5" s="41" t="s">
        <v>52</v>
      </c>
      <c r="J5" s="42" t="s">
        <v>53</v>
      </c>
    </row>
    <row r="11" ht="13.5" thickBot="1"/>
    <row r="12" spans="1:16" ht="12.75" customHeight="1" thickBot="1">
      <c r="A12" s="17" t="str">
        <f>P12</f>
        <v>IBVS 5713 </v>
      </c>
      <c r="B12" s="6" t="str">
        <f>IF(H12=INT(H12),"I","II")</f>
        <v>I</v>
      </c>
      <c r="C12" s="17">
        <f>1*G12</f>
        <v>53660.306</v>
      </c>
      <c r="D12" s="26" t="str">
        <f>VLOOKUP(F12,I$1:J$5,2,FALSE)</f>
        <v>vis</v>
      </c>
      <c r="E12" s="43">
        <f>VLOOKUP(C12,A!C$21:E$973,3,FALSE)</f>
        <v>17276.037842429563</v>
      </c>
      <c r="F12" s="6" t="s">
        <v>52</v>
      </c>
      <c r="G12" s="26" t="str">
        <f>MID(I12,3,LEN(I12)-3)</f>
        <v>53660.306</v>
      </c>
      <c r="H12" s="17">
        <f>1*K12</f>
        <v>17276</v>
      </c>
      <c r="I12" s="44" t="s">
        <v>61</v>
      </c>
      <c r="J12" s="45" t="s">
        <v>62</v>
      </c>
      <c r="K12" s="44">
        <v>17276</v>
      </c>
      <c r="L12" s="44" t="s">
        <v>63</v>
      </c>
      <c r="M12" s="45" t="s">
        <v>57</v>
      </c>
      <c r="N12" s="45" t="s">
        <v>58</v>
      </c>
      <c r="O12" s="46" t="s">
        <v>64</v>
      </c>
      <c r="P12" s="47" t="s">
        <v>65</v>
      </c>
    </row>
    <row r="13" spans="1:16" ht="12.75" customHeight="1" thickBot="1">
      <c r="A13" s="17" t="str">
        <f>P13</f>
        <v>IBVS 5713 </v>
      </c>
      <c r="B13" s="6" t="str">
        <f>IF(H13=INT(H13),"I","II")</f>
        <v>I</v>
      </c>
      <c r="C13" s="17">
        <f>1*G13</f>
        <v>53900.4933</v>
      </c>
      <c r="D13" s="26" t="str">
        <f>VLOOKUP(F13,I$1:J$5,2,FALSE)</f>
        <v>vis</v>
      </c>
      <c r="E13" s="43">
        <f>VLOOKUP(C13,A!C$21:E$973,3,FALSE)</f>
        <v>17477.036658524114</v>
      </c>
      <c r="F13" s="6" t="s">
        <v>52</v>
      </c>
      <c r="G13" s="26" t="str">
        <f>MID(I13,3,LEN(I13)-3)</f>
        <v>53900.4933</v>
      </c>
      <c r="H13" s="17">
        <f>1*K13</f>
        <v>17477</v>
      </c>
      <c r="I13" s="44" t="s">
        <v>66</v>
      </c>
      <c r="J13" s="45" t="s">
        <v>67</v>
      </c>
      <c r="K13" s="44">
        <v>17477</v>
      </c>
      <c r="L13" s="44" t="s">
        <v>68</v>
      </c>
      <c r="M13" s="45" t="s">
        <v>57</v>
      </c>
      <c r="N13" s="45" t="s">
        <v>58</v>
      </c>
      <c r="O13" s="46" t="s">
        <v>64</v>
      </c>
      <c r="P13" s="47" t="s">
        <v>65</v>
      </c>
    </row>
    <row r="14" spans="1:16" ht="12.75" customHeight="1" thickBot="1">
      <c r="A14" s="17" t="str">
        <f>P14</f>
        <v>OEJV 0160 </v>
      </c>
      <c r="B14" s="6" t="str">
        <f>IF(H14=INT(H14),"I","II")</f>
        <v>I</v>
      </c>
      <c r="C14" s="17">
        <f>1*G14</f>
        <v>55794.52258</v>
      </c>
      <c r="D14" s="26" t="str">
        <f>VLOOKUP(F14,I$1:J$5,2,FALSE)</f>
        <v>vis</v>
      </c>
      <c r="E14" s="43">
        <f>VLOOKUP(C14,A!C$21:E$973,3,FALSE)</f>
        <v>19062.039874466</v>
      </c>
      <c r="F14" s="6" t="s">
        <v>52</v>
      </c>
      <c r="G14" s="26" t="str">
        <f>MID(I14,3,LEN(I14)-3)</f>
        <v>55794.52258</v>
      </c>
      <c r="H14" s="17">
        <f>1*K14</f>
        <v>19062</v>
      </c>
      <c r="I14" s="44" t="s">
        <v>74</v>
      </c>
      <c r="J14" s="45" t="s">
        <v>75</v>
      </c>
      <c r="K14" s="44">
        <v>19062</v>
      </c>
      <c r="L14" s="44" t="s">
        <v>76</v>
      </c>
      <c r="M14" s="45" t="s">
        <v>72</v>
      </c>
      <c r="N14" s="45" t="s">
        <v>44</v>
      </c>
      <c r="O14" s="46" t="s">
        <v>77</v>
      </c>
      <c r="P14" s="47" t="s">
        <v>78</v>
      </c>
    </row>
    <row r="15" spans="1:16" ht="12.75" customHeight="1" thickBot="1">
      <c r="A15" s="17" t="str">
        <f>P15</f>
        <v>IBVS 5992 </v>
      </c>
      <c r="B15" s="6" t="str">
        <f>IF(H15=INT(H15),"I","II")</f>
        <v>I</v>
      </c>
      <c r="C15" s="17">
        <f>1*G15</f>
        <v>55728.7909</v>
      </c>
      <c r="D15" s="26" t="str">
        <f>VLOOKUP(F15,I$1:J$5,2,FALSE)</f>
        <v>vis</v>
      </c>
      <c r="E15" s="43">
        <f>VLOOKUP(C15,A!C$21:E$973,3,FALSE)</f>
        <v>19007.032845118883</v>
      </c>
      <c r="F15" s="6" t="s">
        <v>52</v>
      </c>
      <c r="G15" s="26" t="str">
        <f>MID(I15,3,LEN(I15)-3)</f>
        <v>55728.7909</v>
      </c>
      <c r="H15" s="17">
        <f>1*K15</f>
        <v>19007</v>
      </c>
      <c r="I15" s="44" t="s">
        <v>69</v>
      </c>
      <c r="J15" s="45" t="s">
        <v>70</v>
      </c>
      <c r="K15" s="44">
        <v>19007</v>
      </c>
      <c r="L15" s="44" t="s">
        <v>71</v>
      </c>
      <c r="M15" s="45" t="s">
        <v>72</v>
      </c>
      <c r="N15" s="45" t="s">
        <v>52</v>
      </c>
      <c r="O15" s="46" t="s">
        <v>59</v>
      </c>
      <c r="P15" s="47" t="s">
        <v>73</v>
      </c>
    </row>
    <row r="16" spans="1:16" ht="12.75" customHeight="1" thickBot="1">
      <c r="A16" s="17" t="str">
        <f>P16</f>
        <v> BBS 126 </v>
      </c>
      <c r="B16" s="6" t="str">
        <f>IF(H16=INT(H16),"I","II")</f>
        <v>I</v>
      </c>
      <c r="C16" s="17">
        <f>1*G16</f>
        <v>52135.518</v>
      </c>
      <c r="D16" s="26" t="str">
        <f>VLOOKUP(F16,I$1:J$5,2,FALSE)</f>
        <v>vis</v>
      </c>
      <c r="E16" s="43">
        <f>VLOOKUP(C16,A!C$21:E$973,3,FALSE)</f>
        <v>16000.031230942752</v>
      </c>
      <c r="F16" s="6" t="s">
        <v>52</v>
      </c>
      <c r="G16" s="26" t="str">
        <f>MID(I16,3,LEN(I16)-3)</f>
        <v>52135.518</v>
      </c>
      <c r="H16" s="17">
        <f>1*K16</f>
        <v>16000</v>
      </c>
      <c r="I16" s="44" t="s">
        <v>54</v>
      </c>
      <c r="J16" s="45" t="s">
        <v>55</v>
      </c>
      <c r="K16" s="44">
        <v>16000</v>
      </c>
      <c r="L16" s="44" t="s">
        <v>56</v>
      </c>
      <c r="M16" s="45" t="s">
        <v>57</v>
      </c>
      <c r="N16" s="45" t="s">
        <v>58</v>
      </c>
      <c r="O16" s="46" t="s">
        <v>59</v>
      </c>
      <c r="P16" s="46" t="s">
        <v>60</v>
      </c>
    </row>
    <row r="17" spans="2:6" ht="12.75">
      <c r="B17" s="6"/>
      <c r="F17" s="6"/>
    </row>
    <row r="18" spans="2:6" ht="12.75">
      <c r="B18" s="6"/>
      <c r="F18" s="6"/>
    </row>
    <row r="19" spans="2:6" ht="12.75">
      <c r="B19" s="6"/>
      <c r="F19" s="6"/>
    </row>
    <row r="20" spans="2:6" ht="12.75">
      <c r="B20" s="6"/>
      <c r="F20" s="6"/>
    </row>
    <row r="21" spans="2:6" ht="12.75">
      <c r="B21" s="6"/>
      <c r="F21" s="6"/>
    </row>
    <row r="22" spans="2:6" ht="12.75">
      <c r="B22" s="6"/>
      <c r="F22" s="6"/>
    </row>
    <row r="23" spans="2:6" ht="12.75">
      <c r="B23" s="6"/>
      <c r="F23" s="6"/>
    </row>
    <row r="24" spans="2:6" ht="12.75">
      <c r="B24" s="6"/>
      <c r="F24" s="6"/>
    </row>
    <row r="25" spans="2:6" ht="12.75">
      <c r="B25" s="6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</sheetData>
  <sheetProtection/>
  <hyperlinks>
    <hyperlink ref="P12" r:id="rId1" display="http://www.konkoly.hu/cgi-bin/IBVS?5713"/>
    <hyperlink ref="P13" r:id="rId2" display="http://www.konkoly.hu/cgi-bin/IBVS?5713"/>
    <hyperlink ref="P15" r:id="rId3" display="http://www.konkoly.hu/cgi-bin/IBVS?5992"/>
    <hyperlink ref="P14" r:id="rId4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