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0" windowWidth="8430" windowHeight="13770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<sst xmlns="http://schemas.openxmlformats.org/spreadsheetml/2006/main" count="432" uniqueCount="214">
  <si>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</si>
  <si>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</si>
  <si>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</si>
  <si>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</si>
  <si>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</si>
  <si>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</si>
  <si>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</si>
  <si>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</si>
  <si>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</si>
  <si>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</si>
  <si>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</si>
  <si>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</si>
  <si>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</si>
  <si>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</si>
  <si>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</si>
  <si>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</si>
  <si>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</si>
  <si>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</si>
  <si>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</si>
  <si>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</si>
  <si>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</si>
  <si>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</si>
  <si>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</si>
  <si>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</si>
  <si>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</si>
  <si>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</si>
  <si>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</si>
  <si>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</si>
  <si>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</si>
  <si>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V1411 Cyg</t>
  </si>
  <si>
    <t>Nelson</t>
  </si>
  <si>
    <t>Wassen</t>
  </si>
  <si>
    <t>Jones 2003a</t>
  </si>
  <si>
    <t>Jones 2003b</t>
  </si>
  <si>
    <t>Wasson 2003a1</t>
  </si>
  <si>
    <t>Wasson 2003a2</t>
  </si>
  <si>
    <t>Wasson 2003b1</t>
  </si>
  <si>
    <t>Wasson 2003b2</t>
  </si>
  <si>
    <t>Wasson 2003c1</t>
  </si>
  <si>
    <t>Wasson 2003c2</t>
  </si>
  <si>
    <t>Wasson 2003c3</t>
  </si>
  <si>
    <t>Wasson 2003d1</t>
  </si>
  <si>
    <t>Wasson 2003d2</t>
  </si>
  <si>
    <t>Wasson 2003e1</t>
  </si>
  <si>
    <t>Wasson 2003e2</t>
  </si>
  <si>
    <t>Jones</t>
  </si>
  <si>
    <t>Private communication</t>
  </si>
  <si>
    <t>IBVS 5493</t>
  </si>
  <si>
    <t>IBVS 5484</t>
  </si>
  <si>
    <t>IBVS</t>
  </si>
  <si>
    <t>IBVS 5296</t>
  </si>
  <si>
    <t>II</t>
  </si>
  <si>
    <t>I</t>
  </si>
  <si>
    <t>Jones -- email of 2004-09-17</t>
  </si>
  <si>
    <t>See page B</t>
  </si>
  <si>
    <t>EA/KE</t>
  </si>
  <si>
    <t>IBVS 5643</t>
  </si>
  <si>
    <t>IBVS 5657</t>
  </si>
  <si>
    <t>V1411 Cyg / gsc 3613-0347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</si>
  <si>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</si>
  <si>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</si>
  <si>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</si>
  <si>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</si>
  <si>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</si>
  <si>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</si>
  <si>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5781</t>
  </si>
  <si>
    <t>IBVS 5761</t>
  </si>
  <si>
    <t>IBVS 5802</t>
  </si>
  <si>
    <t>Start of linear fit &gt;&gt;&gt;&gt;&gt;&gt;&gt;&gt;&gt;&gt;&gt;&gt;&gt;&gt;&gt;&gt;&gt;&gt;&gt;&gt;&gt;</t>
  </si>
  <si>
    <t>IBVS 6070</t>
  </si>
  <si>
    <t>Old Cycle</t>
  </si>
  <si>
    <t>Add cycle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</si>
  <si>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</si>
  <si>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</si>
  <si>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</si>
  <si>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</si>
  <si>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</si>
  <si>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</si>
  <si>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</si>
  <si>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</si>
  <si>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</si>
  <si>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</si>
  <si>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</si>
  <si>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</si>
  <si>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</si>
  <si>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</si>
  <si>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</si>
  <si>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2433127.525 </t>
  </si>
  <si>
    <t> 30.07.1949 00:36 </t>
  </si>
  <si>
    <t> 0.001 </t>
  </si>
  <si>
    <t>P </t>
  </si>
  <si>
    <t> Miller &amp; Wachmann </t>
  </si>
  <si>
    <t> RIA 8.229 </t>
  </si>
  <si>
    <t>2433513.557 </t>
  </si>
  <si>
    <t> 20.08.1950 01:22 </t>
  </si>
  <si>
    <t> -0.006 </t>
  </si>
  <si>
    <t>2433562.490 </t>
  </si>
  <si>
    <t> 07.10.1950 23:45 </t>
  </si>
  <si>
    <t> -0.008 </t>
  </si>
  <si>
    <t>2433861.547 </t>
  </si>
  <si>
    <t> 03.08.1951 01:07 </t>
  </si>
  <si>
    <t> 0.005 </t>
  </si>
  <si>
    <t>2448442.481 </t>
  </si>
  <si>
    <t> 04.07.1991 23:32 </t>
  </si>
  <si>
    <t> 0.771 </t>
  </si>
  <si>
    <t> Moschner&amp;Kleikamp </t>
  </si>
  <si>
    <t>BAVM 79 </t>
  </si>
  <si>
    <t>2452225.3976 </t>
  </si>
  <si>
    <t> 11.11.2001 21:32 </t>
  </si>
  <si>
    <t> 0.9688 </t>
  </si>
  <si>
    <t>E </t>
  </si>
  <si>
    <t>o</t>
  </si>
  <si>
    <t> F.Agerer </t>
  </si>
  <si>
    <t>BAVM 152 </t>
  </si>
  <si>
    <t>2452503.4722 </t>
  </si>
  <si>
    <t> 16.08.2002 23:19 </t>
  </si>
  <si>
    <t> 0.9709 </t>
  </si>
  <si>
    <t>-I</t>
  </si>
  <si>
    <t>BAVM 158 </t>
  </si>
  <si>
    <t>2452769.8966 </t>
  </si>
  <si>
    <t> 10.05.2003 09:31 </t>
  </si>
  <si>
    <t>24790</t>
  </si>
  <si>
    <t> 0.9738 </t>
  </si>
  <si>
    <t>?</t>
  </si>
  <si>
    <t> R.Nelson </t>
  </si>
  <si>
    <t>IBVS 5493 </t>
  </si>
  <si>
    <t>2452886.4099 </t>
  </si>
  <si>
    <t> 03.09.2003 21:50 </t>
  </si>
  <si>
    <t>24940</t>
  </si>
  <si>
    <t> 0.9762 </t>
  </si>
  <si>
    <t>BAVM 172 </t>
  </si>
  <si>
    <t>2453255.3647 </t>
  </si>
  <si>
    <t> 06.09.2004 20:45 </t>
  </si>
  <si>
    <t>25415</t>
  </si>
  <si>
    <t> 0.9800 </t>
  </si>
  <si>
    <t>BAVM 173 </t>
  </si>
  <si>
    <t>2453282.5473 </t>
  </si>
  <si>
    <t> 04.10.2004 01:08 </t>
  </si>
  <si>
    <t>25450</t>
  </si>
  <si>
    <t> 0.9767 </t>
  </si>
  <si>
    <t>2453919.4850 </t>
  </si>
  <si>
    <t> 02.07.2006 23:38 </t>
  </si>
  <si>
    <t>26270</t>
  </si>
  <si>
    <t> 0.9885 </t>
  </si>
  <si>
    <t>C </t>
  </si>
  <si>
    <t> Moschner&amp;Frank </t>
  </si>
  <si>
    <t>BAVM 183 </t>
  </si>
  <si>
    <t>2453919.4873 </t>
  </si>
  <si>
    <t> 02.07.2006 23:41 </t>
  </si>
  <si>
    <t> 0.9908 </t>
  </si>
  <si>
    <t> R.Diethelm </t>
  </si>
  <si>
    <t> BBS 133 (=IBVS 5781) </t>
  </si>
  <si>
    <t>2453940.4569 </t>
  </si>
  <si>
    <t> 23.07.2006 22:57 </t>
  </si>
  <si>
    <t>26297</t>
  </si>
  <si>
    <t> 0.9884 </t>
  </si>
  <si>
    <t> K.&amp; M.Rätz </t>
  </si>
  <si>
    <t>BAVM 186 </t>
  </si>
  <si>
    <t>2454031.3366 </t>
  </si>
  <si>
    <t> 22.10.2006 20:04 </t>
  </si>
  <si>
    <t>26414</t>
  </si>
  <si>
    <t> 0.9897 </t>
  </si>
  <si>
    <t>2454312.5167 </t>
  </si>
  <si>
    <t> 31.07.2007 00:24 </t>
  </si>
  <si>
    <t>26776</t>
  </si>
  <si>
    <t> 0.9902 </t>
  </si>
  <si>
    <t>BAVM 193 </t>
  </si>
  <si>
    <t>2454337.3742 </t>
  </si>
  <si>
    <t> 24.08.2007 20:58 </t>
  </si>
  <si>
    <t>26808</t>
  </si>
  <si>
    <t> 0.9921 </t>
  </si>
  <si>
    <t>2454737.3998 </t>
  </si>
  <si>
    <t> 27.09.2008 21:35 </t>
  </si>
  <si>
    <t>27323</t>
  </si>
  <si>
    <t> 0.9971 </t>
  </si>
  <si>
    <t>BAVM 203 </t>
  </si>
  <si>
    <t>2455064.4099 </t>
  </si>
  <si>
    <t> 20.08.2009 21:50 </t>
  </si>
  <si>
    <t>27744</t>
  </si>
  <si>
    <t> 1.0001 </t>
  </si>
  <si>
    <t>BAVM 212 </t>
  </si>
  <si>
    <t>2455460.5520 </t>
  </si>
  <si>
    <t> 21.09.2010 01:14 </t>
  </si>
  <si>
    <t>28254</t>
  </si>
  <si>
    <t> 1.0053 </t>
  </si>
  <si>
    <t>BAVM 215 </t>
  </si>
  <si>
    <t>2455805.4293 </t>
  </si>
  <si>
    <t> 31.08.2011 22:18 </t>
  </si>
  <si>
    <t>28698</t>
  </si>
  <si>
    <t> 1.0105 </t>
  </si>
  <si>
    <t>BAVM 225 </t>
  </si>
  <si>
    <t>2455839.6062 </t>
  </si>
  <si>
    <t> 05.10.2011 02:32 </t>
  </si>
  <si>
    <t>28742</t>
  </si>
  <si>
    <t> 1.0109 </t>
  </si>
  <si>
    <t>2456167.3911 </t>
  </si>
  <si>
    <t> 27.08.2012 21:23 </t>
  </si>
  <si>
    <t>29164</t>
  </si>
  <si>
    <t> 1.0119 </t>
  </si>
  <si>
    <t>BAVM 231 </t>
  </si>
  <si>
    <t>2456188.3630 </t>
  </si>
  <si>
    <t> 17.09.2012 20:42 </t>
  </si>
  <si>
    <t>29191</t>
  </si>
  <si>
    <t>2456592.2741 </t>
  </si>
  <si>
    <t> 26.10.2013 18:34 </t>
  </si>
  <si>
    <t>29711</t>
  </si>
  <si>
    <t> 1.0187 </t>
  </si>
  <si>
    <t>BAVM 234 </t>
  </si>
  <si>
    <t>2456928.6055 </t>
  </si>
  <si>
    <t> 28.09.2014 02:31 </t>
  </si>
  <si>
    <t>30144</t>
  </si>
  <si>
    <t> 1.0221 </t>
  </si>
  <si>
    <t>BAVM 239 </t>
  </si>
  <si>
    <t>BAD?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</si>
</sst>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25" borderId="0" xfId="0" applyFont="1" applyFill="1" applyAlignment="1">
      <alignment/>
    </xf>
    <xf numFmtId="0" fontId="33" fillId="0" borderId="0" xfId="61" applyFont="1" applyAlignment="1">
      <alignment wrapText="1"/>
      <protection/>
    </xf>
    <xf numFmtId="0" fontId="33" fillId="0" borderId="0" xfId="61" applyFont="1" applyAlignment="1">
      <alignment horizontal="center" wrapText="1"/>
      <protection/>
    </xf>
    <xf numFmtId="0" fontId="33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V1411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5"/>
          <c:w val="0.896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Active!$D$22:$D$44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0.0012</c:v>
                  </c:pt>
                  <c:pt idx="7">
                    <c:v>0.0002</c:v>
                  </c:pt>
                  <c:pt idx="8">
                    <c:v>0.00068</c:v>
                  </c:pt>
                  <c:pt idx="9">
                    <c:v>0.00061</c:v>
                  </c:pt>
                  <c:pt idx="10">
                    <c:v>0.00036</c:v>
                  </c:pt>
                  <c:pt idx="11">
                    <c:v>0.00043</c:v>
                  </c:pt>
                  <c:pt idx="12">
                    <c:v>0.00011</c:v>
                  </c:pt>
                  <c:pt idx="13">
                    <c:v>0.00017</c:v>
                  </c:pt>
                  <c:pt idx="14">
                    <c:v>0.00018999999999999998</c:v>
                  </c:pt>
                  <c:pt idx="15">
                    <c:v>0.00017</c:v>
                  </c:pt>
                  <c:pt idx="16">
                    <c:v>0.00024</c:v>
                  </c:pt>
                  <c:pt idx="17">
                    <c:v>0.00022</c:v>
                  </c:pt>
                  <c:pt idx="18">
                    <c:v>0.00011</c:v>
                  </c:pt>
                  <c:pt idx="19">
                    <c:v>0.00018</c:v>
                  </c:pt>
                  <c:pt idx="20">
                    <c:v>0.00017</c:v>
                  </c:pt>
                  <c:pt idx="21">
                    <c:v>0.0007</c:v>
                  </c:pt>
                  <c:pt idx="22">
                    <c:v>0.0004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Active!$U$21:$U$993</c:f>
              <c:numCache/>
            </c:numRef>
          </c:yVal>
          <c:smooth val="0"/>
        </c:ser>
        <c:axId val="35885544"/>
        <c:axId val="54534441"/>
      </c:scatterChart>
      <c:valAx>
        <c:axId val="358855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crossBetween val="midCat"/>
        <c:dispUnits/>
      </c:valAx>
      <c:valAx>
        <c:axId val="54534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93025"/>
          <c:w val="0.913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V1411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"/>
          <c:w val="0.8962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Active!$D$22:$D$44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0.0012</c:v>
                  </c:pt>
                  <c:pt idx="7">
                    <c:v>0.0002</c:v>
                  </c:pt>
                  <c:pt idx="8">
                    <c:v>0.00068</c:v>
                  </c:pt>
                  <c:pt idx="9">
                    <c:v>0.00061</c:v>
                  </c:pt>
                  <c:pt idx="10">
                    <c:v>0.00036</c:v>
                  </c:pt>
                  <c:pt idx="11">
                    <c:v>0.00043</c:v>
                  </c:pt>
                  <c:pt idx="12">
                    <c:v>0.00011</c:v>
                  </c:pt>
                  <c:pt idx="13">
                    <c:v>0.00017</c:v>
                  </c:pt>
                  <c:pt idx="14">
                    <c:v>0.00018999999999999998</c:v>
                  </c:pt>
                  <c:pt idx="15">
                    <c:v>0.00017</c:v>
                  </c:pt>
                  <c:pt idx="16">
                    <c:v>0.00024</c:v>
                  </c:pt>
                  <c:pt idx="17">
                    <c:v>0.00022</c:v>
                  </c:pt>
                  <c:pt idx="18">
                    <c:v>0.00011</c:v>
                  </c:pt>
                  <c:pt idx="19">
                    <c:v>0.00018</c:v>
                  </c:pt>
                  <c:pt idx="20">
                    <c:v>0.00017</c:v>
                  </c:pt>
                  <c:pt idx="21">
                    <c:v>0.0007</c:v>
                  </c:pt>
                  <c:pt idx="22">
                    <c:v>0.0004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0.0012</c:v>
                  </c:pt>
                  <c:pt idx="8">
                    <c:v>0.0002</c:v>
                  </c:pt>
                  <c:pt idx="9">
                    <c:v>0.00068</c:v>
                  </c:pt>
                  <c:pt idx="10">
                    <c:v>0.00061</c:v>
                  </c:pt>
                  <c:pt idx="11">
                    <c:v>0.00036</c:v>
                  </c:pt>
                  <c:pt idx="12">
                    <c:v>0.00043</c:v>
                  </c:pt>
                  <c:pt idx="13">
                    <c:v>0.00011</c:v>
                  </c:pt>
                  <c:pt idx="14">
                    <c:v>0.00017</c:v>
                  </c:pt>
                  <c:pt idx="15">
                    <c:v>0.00018999999999999998</c:v>
                  </c:pt>
                  <c:pt idx="16">
                    <c:v>0.00017</c:v>
                  </c:pt>
                  <c:pt idx="17">
                    <c:v>0.00024</c:v>
                  </c:pt>
                  <c:pt idx="18">
                    <c:v>0.00022</c:v>
                  </c:pt>
                  <c:pt idx="19">
                    <c:v>0.00011</c:v>
                  </c:pt>
                  <c:pt idx="20">
                    <c:v>0.00018</c:v>
                  </c:pt>
                  <c:pt idx="21">
                    <c:v>0.00017</c:v>
                  </c:pt>
                  <c:pt idx="22">
                    <c:v>0.0007</c:v>
                  </c:pt>
                  <c:pt idx="23">
                    <c:v>0.0004</c:v>
                  </c:pt>
                  <c:pt idx="24">
                    <c:v>0.0021</c:v>
                  </c:pt>
                  <c:pt idx="25">
                    <c:v>0.0005</c:v>
                  </c:pt>
                  <c:pt idx="26">
                    <c:v>0.0007</c:v>
                  </c:pt>
                  <c:pt idx="27">
                    <c:v>0.0007</c:v>
                  </c:pt>
                  <c:pt idx="28">
                    <c:v>0.0002</c:v>
                  </c:pt>
                  <c:pt idx="29">
                    <c:v>0.0024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0.0003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0.0023</c:v>
                  </c:pt>
                  <c:pt idx="38">
                    <c:v>0.0058</c:v>
                  </c:pt>
                  <c:pt idx="39">
                    <c:v>0.0009</c:v>
                  </c:pt>
                  <c:pt idx="40">
                    <c:v>0.0018</c:v>
                  </c:pt>
                  <c:pt idx="41">
                    <c:v>0.0002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Active!$U$21:$U$993</c:f>
              <c:numCache/>
            </c:numRef>
          </c:yVal>
          <c:smooth val="0"/>
        </c:ser>
        <c:axId val="21047922"/>
        <c:axId val="55213571"/>
      </c:scatterChart>
      <c:valAx>
        <c:axId val="21047922"/>
        <c:scaling>
          <c:orientation val="minMax"/>
          <c:min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crossBetween val="midCat"/>
        <c:dispUnits/>
      </c:valAx>
      <c:valAx>
        <c:axId val="55213571"/>
        <c:scaling>
          <c:orientation val="minMax"/>
          <c:max val="-0.1"/>
          <c:min val="-0.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305"/>
          <c:w val="0.911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V1411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5"/>
          <c:w val="0.896"/>
          <c:h val="0.7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(old)'!$D$22:$D$44</c:f>
                <c:numCache>
                  <c:ptCount val="23"/>
                  <c:pt idx="0">
                    <c:v>NaN</c:v>
                  </c:pt>
                  <c:pt idx="1">
                    <c:v>0.0012</c:v>
                  </c:pt>
                  <c:pt idx="2">
                    <c:v>0.0002</c:v>
                  </c:pt>
                  <c:pt idx="3">
                    <c:v>0.00068</c:v>
                  </c:pt>
                  <c:pt idx="4">
                    <c:v>0.00061</c:v>
                  </c:pt>
                  <c:pt idx="5">
                    <c:v>0.00036</c:v>
                  </c:pt>
                  <c:pt idx="6">
                    <c:v>0.00043</c:v>
                  </c:pt>
                  <c:pt idx="7">
                    <c:v>0.00011</c:v>
                  </c:pt>
                  <c:pt idx="8">
                    <c:v>0.00017</c:v>
                  </c:pt>
                  <c:pt idx="9">
                    <c:v>0.00018999999999999998</c:v>
                  </c:pt>
                  <c:pt idx="10">
                    <c:v>0.00017</c:v>
                  </c:pt>
                  <c:pt idx="11">
                    <c:v>0.00024</c:v>
                  </c:pt>
                  <c:pt idx="12">
                    <c:v>0.00022</c:v>
                  </c:pt>
                  <c:pt idx="13">
                    <c:v>0.00011</c:v>
                  </c:pt>
                  <c:pt idx="14">
                    <c:v>0.00018</c:v>
                  </c:pt>
                  <c:pt idx="15">
                    <c:v>0.00017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Jones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Wassen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27160092"/>
        <c:axId val="43114237"/>
      </c:scatterChart>
      <c:valAx>
        <c:axId val="271600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crossBetween val="midCat"/>
        <c:dispUnits/>
      </c:val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2875"/>
          <c:w val="0.950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V1411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3"/>
          <c:w val="0.9055"/>
          <c:h val="0.7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(old)'!$D$22:$D$44</c:f>
                <c:numCache>
                  <c:ptCount val="23"/>
                  <c:pt idx="0">
                    <c:v>NaN</c:v>
                  </c:pt>
                  <c:pt idx="1">
                    <c:v>0.0012</c:v>
                  </c:pt>
                  <c:pt idx="2">
                    <c:v>0.0002</c:v>
                  </c:pt>
                  <c:pt idx="3">
                    <c:v>0.00068</c:v>
                  </c:pt>
                  <c:pt idx="4">
                    <c:v>0.00061</c:v>
                  </c:pt>
                  <c:pt idx="5">
                    <c:v>0.00036</c:v>
                  </c:pt>
                  <c:pt idx="6">
                    <c:v>0.00043</c:v>
                  </c:pt>
                  <c:pt idx="7">
                    <c:v>0.00011</c:v>
                  </c:pt>
                  <c:pt idx="8">
                    <c:v>0.00017</c:v>
                  </c:pt>
                  <c:pt idx="9">
                    <c:v>0.00018999999999999998</c:v>
                  </c:pt>
                  <c:pt idx="10">
                    <c:v>0.00017</c:v>
                  </c:pt>
                  <c:pt idx="11">
                    <c:v>0.00024</c:v>
                  </c:pt>
                  <c:pt idx="12">
                    <c:v>0.00022</c:v>
                  </c:pt>
                  <c:pt idx="13">
                    <c:v>0.00011</c:v>
                  </c:pt>
                  <c:pt idx="14">
                    <c:v>0.00018</c:v>
                  </c:pt>
                  <c:pt idx="15">
                    <c:v>0.00017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'A (old)'!$D$22:$D$44</c:f>
                <c:numCache>
                  <c:ptCount val="23"/>
                  <c:pt idx="0">
                    <c:v>NaN</c:v>
                  </c:pt>
                  <c:pt idx="1">
                    <c:v>0.0012</c:v>
                  </c:pt>
                  <c:pt idx="2">
                    <c:v>0.0002</c:v>
                  </c:pt>
                  <c:pt idx="3">
                    <c:v>0.00068</c:v>
                  </c:pt>
                  <c:pt idx="4">
                    <c:v>0.00061</c:v>
                  </c:pt>
                  <c:pt idx="5">
                    <c:v>0.00036</c:v>
                  </c:pt>
                  <c:pt idx="6">
                    <c:v>0.00043</c:v>
                  </c:pt>
                  <c:pt idx="7">
                    <c:v>0.00011</c:v>
                  </c:pt>
                  <c:pt idx="8">
                    <c:v>0.00017</c:v>
                  </c:pt>
                  <c:pt idx="9">
                    <c:v>0.00018999999999999998</c:v>
                  </c:pt>
                  <c:pt idx="10">
                    <c:v>0.00017</c:v>
                  </c:pt>
                  <c:pt idx="11">
                    <c:v>0.00024</c:v>
                  </c:pt>
                  <c:pt idx="12">
                    <c:v>0.00022</c:v>
                  </c:pt>
                  <c:pt idx="13">
                    <c:v>0.00011</c:v>
                  </c:pt>
                  <c:pt idx="14">
                    <c:v>0.00018</c:v>
                  </c:pt>
                  <c:pt idx="15">
                    <c:v>0.00017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Jones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Wassen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0.00068</c:v>
                  </c:pt>
                  <c:pt idx="5">
                    <c:v>0.00061</c:v>
                  </c:pt>
                  <c:pt idx="6">
                    <c:v>0.00036</c:v>
                  </c:pt>
                  <c:pt idx="7">
                    <c:v>0.00043</c:v>
                  </c:pt>
                  <c:pt idx="8">
                    <c:v>0.00011</c:v>
                  </c:pt>
                  <c:pt idx="9">
                    <c:v>0.00017</c:v>
                  </c:pt>
                  <c:pt idx="10">
                    <c:v>0.00018999999999999998</c:v>
                  </c:pt>
                  <c:pt idx="11">
                    <c:v>0.00017</c:v>
                  </c:pt>
                  <c:pt idx="12">
                    <c:v>0.00024</c:v>
                  </c:pt>
                  <c:pt idx="13">
                    <c:v>0.00022</c:v>
                  </c:pt>
                  <c:pt idx="14">
                    <c:v>0.00011</c:v>
                  </c:pt>
                  <c:pt idx="15">
                    <c:v>0.00018</c:v>
                  </c:pt>
                  <c:pt idx="16">
                    <c:v>0.00017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52483814"/>
        <c:axId val="2592279"/>
      </c:scatterChart>
      <c:valAx>
        <c:axId val="52483814"/>
        <c:scaling>
          <c:orientation val="minMax"/>
          <c:max val="25000"/>
          <c:min val="2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crossBetween val="midCat"/>
        <c:dispUnits/>
        <c:majorUnit val="100"/>
        <c:minorUnit val="20"/>
      </c:valAx>
      <c:valAx>
        <c:axId val="2592279"/>
        <c:scaling>
          <c:orientation val="minMax"/>
          <c:max val="-0.186"/>
          <c:min val="-0.1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 val="autoZero"/>
        <c:crossBetween val="midCat"/>
        <c:dispUnits/>
        <c:majorUnit val="0.002"/>
        <c:minorUnit val="0.001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3"/>
          <c:y val="0.924"/>
          <c:w val="0.835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0</xdr:row>
      <xdr:rowOff>0</xdr:rowOff>
    </xdr:from>
    <xdr:to>
      <xdr:col>24</xdr:col>
      <xdr:colOff>152400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582275" y="0"/>
        <a:ext cx="51244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1076325</xdr:colOff>
      <xdr:row>0</xdr:row>
      <xdr:rowOff>0</xdr:rowOff>
    </xdr:from>
    <xdr:to>
      <xdr:col>15</xdr:col>
      <xdr:colOff>9525</xdr:colOff>
      <xdr:row>18</xdr:row>
      <xdr:rowOff>9525</xdr:rowOff>
    </xdr:to>
    <xdr:graphicFrame>
      <xdr:nvGraphicFramePr>
        <xdr:cNvPr id="2" name="Chart 5"/>
        <xdr:cNvGraphicFramePr/>
      </xdr:nvGraphicFramePr>
      <xdr:xfrm>
        <a:off x="4457700" y="0"/>
        <a:ext cx="51339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95250</xdr:rowOff>
    </xdr:from>
    <xdr:to>
      <xdr:col>22</xdr:col>
      <xdr:colOff>104775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8601075" y="95250"/>
        <a:ext cx="51244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</xdr:row>
      <xdr:rowOff>114300</xdr:rowOff>
    </xdr:from>
    <xdr:to>
      <xdr:col>14</xdr:col>
      <xdr:colOff>76200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2743200" y="371475"/>
        <a:ext cx="58197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79" TargetMode="External" /><Relationship Id="rId2" Type="http://schemas.openxmlformats.org/officeDocument/2006/relationships/hyperlink" Target="http://www.bav-astro.de/sfs/BAVM_link.php?BAVMnr=152" TargetMode="External" /><Relationship Id="rId3" Type="http://schemas.openxmlformats.org/officeDocument/2006/relationships/hyperlink" Target="http://www.bav-astro.de/sfs/BAVM_link.php?BAVMnr=158" TargetMode="External" /><Relationship Id="rId4" Type="http://schemas.openxmlformats.org/officeDocument/2006/relationships/hyperlink" Target="http://www.konkoly.hu/cgi-bin/IBVS?5493" TargetMode="External" /><Relationship Id="rId5" Type="http://schemas.openxmlformats.org/officeDocument/2006/relationships/hyperlink" Target="http://www.bav-astro.de/sfs/BAVM_link.php?BAVMnr=172" TargetMode="External" /><Relationship Id="rId6" Type="http://schemas.openxmlformats.org/officeDocument/2006/relationships/hyperlink" Target="http://www.bav-astro.de/sfs/BAVM_link.php?BAVMnr=173" TargetMode="External" /><Relationship Id="rId7" Type="http://schemas.openxmlformats.org/officeDocument/2006/relationships/hyperlink" Target="http://www.bav-astro.de/sfs/BAVM_link.php?BAVMnr=173" TargetMode="External" /><Relationship Id="rId8" Type="http://schemas.openxmlformats.org/officeDocument/2006/relationships/hyperlink" Target="http://www.bav-astro.de/sfs/BAVM_link.php?BAVMnr=183" TargetMode="External" /><Relationship Id="rId9" Type="http://schemas.openxmlformats.org/officeDocument/2006/relationships/hyperlink" Target="http://www.bav-astro.de/sfs/BAVM_link.php?BAVMnr=186" TargetMode="External" /><Relationship Id="rId10" Type="http://schemas.openxmlformats.org/officeDocument/2006/relationships/hyperlink" Target="http://www.bav-astro.de/sfs/BAVM_link.php?BAVMnr=183" TargetMode="External" /><Relationship Id="rId11" Type="http://schemas.openxmlformats.org/officeDocument/2006/relationships/hyperlink" Target="http://www.bav-astro.de/sfs/BAVM_link.php?BAVMnr=193" TargetMode="External" /><Relationship Id="rId12" Type="http://schemas.openxmlformats.org/officeDocument/2006/relationships/hyperlink" Target="http://www.bav-astro.de/sfs/BAVM_link.php?BAVMnr=193" TargetMode="External" /><Relationship Id="rId13" Type="http://schemas.openxmlformats.org/officeDocument/2006/relationships/hyperlink" Target="http://www.bav-astro.de/sfs/BAVM_link.php?BAVMnr=203" TargetMode="External" /><Relationship Id="rId14" Type="http://schemas.openxmlformats.org/officeDocument/2006/relationships/hyperlink" Target="http://www.bav-astro.de/sfs/BAVM_link.php?BAVMnr=212" TargetMode="External" /><Relationship Id="rId15" Type="http://schemas.openxmlformats.org/officeDocument/2006/relationships/hyperlink" Target="http://www.bav-astro.de/sfs/BAVM_link.php?BAVMnr=215" TargetMode="External" /><Relationship Id="rId16" Type="http://schemas.openxmlformats.org/officeDocument/2006/relationships/hyperlink" Target="http://www.bav-astro.de/sfs/BAVM_link.php?BAVMnr=225" TargetMode="External" /><Relationship Id="rId17" Type="http://schemas.openxmlformats.org/officeDocument/2006/relationships/hyperlink" Target="http://www.bav-astro.de/sfs/BAVM_link.php?BAVMnr=225" TargetMode="External" /><Relationship Id="rId18" Type="http://schemas.openxmlformats.org/officeDocument/2006/relationships/hyperlink" Target="http://www.bav-astro.de/sfs/BAVM_link.php?BAVMnr=231" TargetMode="External" /><Relationship Id="rId19" Type="http://schemas.openxmlformats.org/officeDocument/2006/relationships/hyperlink" Target="http://www.bav-astro.de/sfs/BAVM_link.php?BAVMnr=231" TargetMode="External" /><Relationship Id="rId20" Type="http://schemas.openxmlformats.org/officeDocument/2006/relationships/hyperlink" Target="http://www.bav-astro.de/sfs/BAVM_link.php?BAVMnr=234" TargetMode="External" /><Relationship Id="rId21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pane xSplit="14" ySplit="21" topLeftCell="O31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58</v>
      </c>
    </row>
    <row r="2" spans="1:2" ht="12.75">
      <c r="A2" t="s">
        <v>26</v>
      </c>
      <c r="B2" s="17" t="s">
        <v>55</v>
      </c>
    </row>
    <row r="3" ht="13.5" thickBot="1">
      <c r="C3" s="15" t="s">
        <v>53</v>
      </c>
    </row>
    <row r="4" spans="1:4" ht="14.25" thickBot="1" thickTop="1">
      <c r="A4" s="8" t="s">
        <v>1</v>
      </c>
      <c r="C4" s="3">
        <v>33513.563</v>
      </c>
      <c r="D4" s="4">
        <v>0.776739</v>
      </c>
    </row>
    <row r="5" spans="1:4" ht="13.5" thickTop="1">
      <c r="A5" s="23" t="s">
        <v>59</v>
      </c>
      <c r="B5" s="24"/>
      <c r="C5" s="25">
        <v>-9.5</v>
      </c>
      <c r="D5" s="24" t="s">
        <v>60</v>
      </c>
    </row>
    <row r="6" ht="12.75">
      <c r="A6" s="8" t="s">
        <v>2</v>
      </c>
    </row>
    <row r="7" spans="1:3" ht="12.75">
      <c r="A7" t="s">
        <v>3</v>
      </c>
      <c r="C7">
        <f>+C4+3*D4/2</f>
        <v>33514.7281085</v>
      </c>
    </row>
    <row r="8" spans="1:4" ht="12.75">
      <c r="A8" t="s">
        <v>4</v>
      </c>
      <c r="C8">
        <f>2*D8</f>
        <v>1.553478</v>
      </c>
      <c r="D8">
        <v>0.776739</v>
      </c>
    </row>
    <row r="9" spans="1:4" ht="12.75">
      <c r="A9" s="41" t="s">
        <v>68</v>
      </c>
      <c r="B9" s="42">
        <v>21</v>
      </c>
      <c r="C9" s="40" t="str">
        <f>"F"&amp;B9</f>
        <v>F21</v>
      </c>
      <c r="D9" s="13" t="str">
        <f>"G"&amp;B9</f>
        <v>G21</v>
      </c>
    </row>
    <row r="10" spans="1:5" ht="13.5" thickBot="1">
      <c r="A10" s="24"/>
      <c r="B10" s="24"/>
      <c r="C10" s="7" t="s">
        <v>21</v>
      </c>
      <c r="D10" s="7" t="s">
        <v>22</v>
      </c>
      <c r="E10" s="24"/>
    </row>
    <row r="11" spans="1:5" ht="12.75">
      <c r="A11" s="24" t="s">
        <v>17</v>
      </c>
      <c r="B11" s="24"/>
      <c r="C11" s="39">
        <f ca="1">INTERCEPT(INDIRECT($D$9):G992,INDIRECT($C$9):F992)</f>
        <v>-0.39052944148728436</v>
      </c>
      <c r="D11" s="6"/>
      <c r="E11" s="24"/>
    </row>
    <row r="12" spans="1:5" ht="12.75">
      <c r="A12" s="24" t="s">
        <v>18</v>
      </c>
      <c r="B12" s="24"/>
      <c r="C12" s="39">
        <f ca="1">SLOPE(INDIRECT($D$9):G992,INDIRECT($C$9):F992)</f>
        <v>1.6227070758033895E-05</v>
      </c>
      <c r="D12" s="6"/>
      <c r="E12" s="24"/>
    </row>
    <row r="13" spans="1:3" ht="12.75">
      <c r="A13" s="24" t="s">
        <v>20</v>
      </c>
      <c r="B13" s="24"/>
      <c r="C13" s="6" t="s">
        <v>15</v>
      </c>
    </row>
    <row r="14" spans="1:3" ht="12.75">
      <c r="A14" s="24"/>
      <c r="B14" s="24"/>
      <c r="C14" s="24"/>
    </row>
    <row r="15" spans="1:6" ht="12.75">
      <c r="A15" s="26" t="s">
        <v>19</v>
      </c>
      <c r="B15" s="24"/>
      <c r="C15" s="27">
        <f>(C7+C11)+(C8+C12)*INT(MAX(F21:F3533))</f>
        <v>57276.58527633283</v>
      </c>
      <c r="E15" s="28" t="s">
        <v>71</v>
      </c>
      <c r="F15" s="25">
        <v>1</v>
      </c>
    </row>
    <row r="16" spans="1:6" ht="12.75">
      <c r="A16" s="30" t="s">
        <v>5</v>
      </c>
      <c r="B16" s="24"/>
      <c r="C16" s="31">
        <f>+C8+C12</f>
        <v>1.553494227070758</v>
      </c>
      <c r="E16" s="28" t="s">
        <v>61</v>
      </c>
      <c r="F16" s="29">
        <f ca="1">NOW()+15018.5+$C$5/24</f>
        <v>59897.51109988426</v>
      </c>
    </row>
    <row r="17" spans="1:6" ht="13.5" thickBot="1">
      <c r="A17" s="28" t="s">
        <v>63</v>
      </c>
      <c r="B17" s="24"/>
      <c r="C17" s="24">
        <f>COUNT(C21:C2191)</f>
        <v>42</v>
      </c>
      <c r="E17" s="28" t="s">
        <v>70</v>
      </c>
      <c r="F17" s="29">
        <f>ROUND(2*(F16-$C$7)/$C$8,0)/2+F15</f>
        <v>16984</v>
      </c>
    </row>
    <row r="18" spans="1:6" ht="14.25" thickBot="1" thickTop="1">
      <c r="A18" s="30" t="s">
        <v>6</v>
      </c>
      <c r="B18" s="24"/>
      <c r="C18" s="33">
        <f>+C15</f>
        <v>57276.58527633283</v>
      </c>
      <c r="D18" s="34">
        <f>+C16</f>
        <v>1.553494227070758</v>
      </c>
      <c r="E18" s="28" t="s">
        <v>62</v>
      </c>
      <c r="F18" s="13">
        <f>ROUND(2*(F16-$C$15)/$C$16,0)/2+F15</f>
        <v>1688</v>
      </c>
    </row>
    <row r="19" spans="5:6" ht="13.5" thickTop="1">
      <c r="E19" s="28" t="s">
        <v>64</v>
      </c>
      <c r="F19" s="32">
        <f>+$C$15+$C$16*F18-15018.5-$C$5/24</f>
        <v>44880.77936496161</v>
      </c>
    </row>
    <row r="20" spans="1:21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82</v>
      </c>
      <c r="I20" s="10" t="s">
        <v>85</v>
      </c>
      <c r="J20" s="10" t="s">
        <v>79</v>
      </c>
      <c r="K20" s="10" t="s">
        <v>77</v>
      </c>
      <c r="L20" s="10" t="s">
        <v>49</v>
      </c>
      <c r="M20" s="10" t="s">
        <v>27</v>
      </c>
      <c r="N20" s="10" t="s">
        <v>28</v>
      </c>
      <c r="O20" s="10" t="s">
        <v>24</v>
      </c>
      <c r="P20" s="9" t="s">
        <v>23</v>
      </c>
      <c r="Q20" s="7" t="s">
        <v>16</v>
      </c>
      <c r="U20" s="68" t="s">
        <v>213</v>
      </c>
    </row>
    <row r="21" spans="1:17" ht="12.75">
      <c r="A21" s="66" t="s">
        <v>92</v>
      </c>
      <c r="B21" s="67" t="s">
        <v>52</v>
      </c>
      <c r="C21" s="66">
        <v>33127.525</v>
      </c>
      <c r="D21" s="66" t="s">
        <v>85</v>
      </c>
      <c r="E21">
        <f aca="true" t="shared" si="0" ref="E21:E61">+(C21-C$7)/C$8</f>
        <v>-249.24917411125105</v>
      </c>
      <c r="F21">
        <f>ROUND(2*E21,0)/2</f>
        <v>-249</v>
      </c>
      <c r="G21">
        <f>+C21-(C$7+F21*C$8)</f>
        <v>-0.38708649999898626</v>
      </c>
      <c r="I21">
        <f>G21</f>
        <v>-0.38708649999898626</v>
      </c>
      <c r="O21">
        <f aca="true" t="shared" si="1" ref="O21:O61">+C$11+C$12*F21</f>
        <v>-0.3945699821060348</v>
      </c>
      <c r="Q21" s="2">
        <f aca="true" t="shared" si="2" ref="Q21:Q61">+C21-15018.5</f>
        <v>18109.025</v>
      </c>
    </row>
    <row r="22" spans="1:17" ht="12.75">
      <c r="A22" s="66" t="s">
        <v>92</v>
      </c>
      <c r="B22" s="67" t="s">
        <v>52</v>
      </c>
      <c r="C22" s="66">
        <v>33513.557</v>
      </c>
      <c r="D22" s="66" t="s">
        <v>85</v>
      </c>
      <c r="E22">
        <f t="shared" si="0"/>
        <v>-0.7538623012355559</v>
      </c>
      <c r="F22" s="69">
        <f>ROUND(2*E22,0)/2+0.5</f>
        <v>-0.5</v>
      </c>
      <c r="G22">
        <f>+C22-(C$7+F22*C$8)</f>
        <v>-0.39436949999799253</v>
      </c>
      <c r="I22">
        <f>G22</f>
        <v>-0.39436949999799253</v>
      </c>
      <c r="O22">
        <f t="shared" si="1"/>
        <v>-0.39053755502266335</v>
      </c>
      <c r="Q22" s="2">
        <f t="shared" si="2"/>
        <v>18495.057</v>
      </c>
    </row>
    <row r="23" spans="1:17" ht="12.75">
      <c r="A23" t="s">
        <v>13</v>
      </c>
      <c r="C23" s="20">
        <v>33513.563</v>
      </c>
      <c r="D23" s="20" t="s">
        <v>15</v>
      </c>
      <c r="E23">
        <f t="shared" si="0"/>
        <v>-0.7499999999984465</v>
      </c>
      <c r="F23">
        <f>ROUND(2*E23,0)/2</f>
        <v>-0.5</v>
      </c>
      <c r="G23">
        <f>+C23-(C$7+F23*C$8)</f>
        <v>-0.3883694999967702</v>
      </c>
      <c r="H23">
        <f>G23</f>
        <v>-0.3883694999967702</v>
      </c>
      <c r="O23">
        <f t="shared" si="1"/>
        <v>-0.39053755502266335</v>
      </c>
      <c r="Q23" s="2">
        <f t="shared" si="2"/>
        <v>18495.063000000002</v>
      </c>
    </row>
    <row r="24" spans="1:17" ht="12.75">
      <c r="A24" s="66" t="s">
        <v>92</v>
      </c>
      <c r="B24" s="67" t="s">
        <v>52</v>
      </c>
      <c r="C24" s="66">
        <v>33562.49</v>
      </c>
      <c r="D24" s="66" t="s">
        <v>85</v>
      </c>
      <c r="E24">
        <f t="shared" si="0"/>
        <v>30.74513543159186</v>
      </c>
      <c r="F24" s="69">
        <f>ROUND(2*E24,0)/2+0.5</f>
        <v>31</v>
      </c>
      <c r="G24">
        <f>+C24-(C$7+F24*C$8)</f>
        <v>-0.39592650000122376</v>
      </c>
      <c r="I24">
        <f>G24</f>
        <v>-0.39592650000122376</v>
      </c>
      <c r="O24">
        <f t="shared" si="1"/>
        <v>-0.3900264022937853</v>
      </c>
      <c r="Q24" s="2">
        <f t="shared" si="2"/>
        <v>18543.989999999998</v>
      </c>
    </row>
    <row r="25" spans="1:17" ht="12.75">
      <c r="A25" s="66" t="s">
        <v>92</v>
      </c>
      <c r="B25" s="67" t="s">
        <v>52</v>
      </c>
      <c r="C25" s="66">
        <v>33861.547</v>
      </c>
      <c r="D25" s="66" t="s">
        <v>85</v>
      </c>
      <c r="E25">
        <f t="shared" si="0"/>
        <v>223.25317223674824</v>
      </c>
      <c r="F25">
        <f aca="true" t="shared" si="3" ref="F25:F62">ROUND(2*E25,0)/2</f>
        <v>223.5</v>
      </c>
      <c r="G25">
        <f>+C25-(C$7+F25*C$8)</f>
        <v>-0.3834415000019362</v>
      </c>
      <c r="I25">
        <f>G25</f>
        <v>-0.3834415000019362</v>
      </c>
      <c r="O25">
        <f t="shared" si="1"/>
        <v>-0.3869026911728638</v>
      </c>
      <c r="Q25" s="2">
        <f t="shared" si="2"/>
        <v>18843.047</v>
      </c>
    </row>
    <row r="26" spans="1:21" ht="12.75">
      <c r="A26" s="66" t="s">
        <v>106</v>
      </c>
      <c r="B26" s="67" t="s">
        <v>52</v>
      </c>
      <c r="C26" s="66">
        <v>48442.481</v>
      </c>
      <c r="D26" s="66" t="s">
        <v>85</v>
      </c>
      <c r="E26">
        <f t="shared" si="0"/>
        <v>9609.246408059851</v>
      </c>
      <c r="F26">
        <f t="shared" si="3"/>
        <v>9609</v>
      </c>
      <c r="O26">
        <f t="shared" si="1"/>
        <v>-0.23460351857333667</v>
      </c>
      <c r="Q26" s="2">
        <f t="shared" si="2"/>
        <v>33423.981</v>
      </c>
      <c r="U26">
        <f>+C26-(C$7+F26*C$8)</f>
        <v>0.38278949999948964</v>
      </c>
    </row>
    <row r="27" spans="1:17" ht="12.75">
      <c r="A27" t="s">
        <v>50</v>
      </c>
      <c r="C27" s="20">
        <v>52225.3976</v>
      </c>
      <c r="D27" s="20"/>
      <c r="E27">
        <f t="shared" si="0"/>
        <v>12044.37365157408</v>
      </c>
      <c r="F27">
        <f t="shared" si="3"/>
        <v>12044.5</v>
      </c>
      <c r="G27">
        <f aca="true" t="shared" si="4" ref="G27:G61">+C27-(C$7+F27*C$8)</f>
        <v>-0.19627949999994598</v>
      </c>
      <c r="J27">
        <f>G27</f>
        <v>-0.19627949999994598</v>
      </c>
      <c r="O27">
        <f t="shared" si="1"/>
        <v>-0.19508248774214512</v>
      </c>
      <c r="Q27" s="2">
        <f t="shared" si="2"/>
        <v>37206.8976</v>
      </c>
    </row>
    <row r="28" spans="1:17" ht="12.75">
      <c r="A28" t="s">
        <v>48</v>
      </c>
      <c r="C28" s="20">
        <v>52503.4722</v>
      </c>
      <c r="D28" s="20">
        <v>0.0012</v>
      </c>
      <c r="E28">
        <f t="shared" si="0"/>
        <v>12223.374963469067</v>
      </c>
      <c r="F28">
        <f t="shared" si="3"/>
        <v>12223.5</v>
      </c>
      <c r="G28">
        <f t="shared" si="4"/>
        <v>-0.1942415000012261</v>
      </c>
      <c r="J28" s="14">
        <f>G28</f>
        <v>-0.1942415000012261</v>
      </c>
      <c r="O28">
        <f t="shared" si="1"/>
        <v>-0.19217784207645705</v>
      </c>
      <c r="Q28" s="2">
        <f t="shared" si="2"/>
        <v>37484.9722</v>
      </c>
    </row>
    <row r="29" spans="1:17" ht="12.75">
      <c r="A29" s="8" t="s">
        <v>47</v>
      </c>
      <c r="C29" s="20">
        <v>52769.8966</v>
      </c>
      <c r="D29" s="20">
        <v>0.0002</v>
      </c>
      <c r="E29">
        <f t="shared" si="0"/>
        <v>12394.876845053488</v>
      </c>
      <c r="F29">
        <f t="shared" si="3"/>
        <v>12395</v>
      </c>
      <c r="G29">
        <f t="shared" si="4"/>
        <v>-0.19131849999394035</v>
      </c>
      <c r="K29">
        <f aca="true" t="shared" si="5" ref="K29:K42">G29</f>
        <v>-0.19131849999394035</v>
      </c>
      <c r="O29">
        <f t="shared" si="1"/>
        <v>-0.18939489944145424</v>
      </c>
      <c r="Q29" s="2">
        <f t="shared" si="2"/>
        <v>37751.3966</v>
      </c>
    </row>
    <row r="30" spans="1:22" ht="12.75">
      <c r="A30" t="s">
        <v>35</v>
      </c>
      <c r="C30" s="20">
        <v>52846.794850000006</v>
      </c>
      <c r="D30" s="20">
        <v>0.00068</v>
      </c>
      <c r="E30">
        <f t="shared" si="0"/>
        <v>12444.377546061165</v>
      </c>
      <c r="F30">
        <f t="shared" si="3"/>
        <v>12444.5</v>
      </c>
      <c r="G30">
        <f t="shared" si="4"/>
        <v>-0.1902294999890728</v>
      </c>
      <c r="K30">
        <f t="shared" si="5"/>
        <v>-0.1902294999890728</v>
      </c>
      <c r="O30">
        <f t="shared" si="1"/>
        <v>-0.18859165943893155</v>
      </c>
      <c r="Q30" s="2">
        <f t="shared" si="2"/>
        <v>37828.294850000006</v>
      </c>
      <c r="V30" t="s">
        <v>46</v>
      </c>
    </row>
    <row r="31" spans="1:22" ht="12.75">
      <c r="A31" t="s">
        <v>34</v>
      </c>
      <c r="C31" s="20">
        <v>52846.79495</v>
      </c>
      <c r="D31" s="20">
        <v>0.00061</v>
      </c>
      <c r="E31">
        <f t="shared" si="0"/>
        <v>12444.377610432852</v>
      </c>
      <c r="F31">
        <f t="shared" si="3"/>
        <v>12444.5</v>
      </c>
      <c r="G31">
        <f t="shared" si="4"/>
        <v>-0.190129499991599</v>
      </c>
      <c r="K31">
        <f t="shared" si="5"/>
        <v>-0.190129499991599</v>
      </c>
      <c r="O31">
        <f t="shared" si="1"/>
        <v>-0.18859165943893155</v>
      </c>
      <c r="Q31" s="2">
        <f t="shared" si="2"/>
        <v>37828.29495</v>
      </c>
      <c r="V31" t="s">
        <v>46</v>
      </c>
    </row>
    <row r="32" spans="1:22" ht="12.75">
      <c r="A32" t="s">
        <v>36</v>
      </c>
      <c r="C32" s="20">
        <v>52853.78635</v>
      </c>
      <c r="D32" s="20">
        <v>0.00036</v>
      </c>
      <c r="E32">
        <f t="shared" si="0"/>
        <v>12448.878092576788</v>
      </c>
      <c r="F32">
        <f t="shared" si="3"/>
        <v>12449</v>
      </c>
      <c r="G32">
        <f t="shared" si="4"/>
        <v>-0.18938049999269424</v>
      </c>
      <c r="K32">
        <f t="shared" si="5"/>
        <v>-0.18938049999269424</v>
      </c>
      <c r="O32">
        <f t="shared" si="1"/>
        <v>-0.1885186376205204</v>
      </c>
      <c r="Q32" s="2">
        <f t="shared" si="2"/>
        <v>37835.28635</v>
      </c>
      <c r="V32" t="s">
        <v>46</v>
      </c>
    </row>
    <row r="33" spans="1:22" ht="12.75">
      <c r="A33" t="s">
        <v>37</v>
      </c>
      <c r="C33" s="20">
        <v>52853.78635</v>
      </c>
      <c r="D33" s="20">
        <v>0.00043</v>
      </c>
      <c r="E33">
        <f t="shared" si="0"/>
        <v>12448.878092576788</v>
      </c>
      <c r="F33">
        <f t="shared" si="3"/>
        <v>12449</v>
      </c>
      <c r="G33">
        <f t="shared" si="4"/>
        <v>-0.18938049999269424</v>
      </c>
      <c r="K33">
        <f t="shared" si="5"/>
        <v>-0.18938049999269424</v>
      </c>
      <c r="O33">
        <f t="shared" si="1"/>
        <v>-0.1885186376205204</v>
      </c>
      <c r="Q33" s="2">
        <f t="shared" si="2"/>
        <v>37835.28635</v>
      </c>
      <c r="V33" t="s">
        <v>46</v>
      </c>
    </row>
    <row r="34" spans="1:22" ht="12.75">
      <c r="A34" t="s">
        <v>32</v>
      </c>
      <c r="B34" s="6" t="s">
        <v>51</v>
      </c>
      <c r="C34" s="21">
        <v>52860.77564</v>
      </c>
      <c r="D34" s="20">
        <v>0.00011</v>
      </c>
      <c r="E34">
        <f t="shared" si="0"/>
        <v>12453.377216478122</v>
      </c>
      <c r="F34">
        <f t="shared" si="3"/>
        <v>12453.5</v>
      </c>
      <c r="G34">
        <f t="shared" si="4"/>
        <v>-0.19074149999505607</v>
      </c>
      <c r="K34">
        <f t="shared" si="5"/>
        <v>-0.19074149999505607</v>
      </c>
      <c r="O34">
        <f t="shared" si="1"/>
        <v>-0.18844561580210925</v>
      </c>
      <c r="Q34" s="2">
        <f t="shared" si="2"/>
        <v>37842.27564</v>
      </c>
      <c r="V34" t="s">
        <v>46</v>
      </c>
    </row>
    <row r="35" spans="1:22" ht="12.75">
      <c r="A35" t="s">
        <v>38</v>
      </c>
      <c r="C35" s="20">
        <v>52860.777</v>
      </c>
      <c r="D35" s="20">
        <v>0.00017</v>
      </c>
      <c r="E35">
        <f t="shared" si="0"/>
        <v>12453.378091933071</v>
      </c>
      <c r="F35">
        <f t="shared" si="3"/>
        <v>12453.5</v>
      </c>
      <c r="G35">
        <f t="shared" si="4"/>
        <v>-0.18938149999303278</v>
      </c>
      <c r="K35">
        <f t="shared" si="5"/>
        <v>-0.18938149999303278</v>
      </c>
      <c r="O35">
        <f t="shared" si="1"/>
        <v>-0.18844561580210925</v>
      </c>
      <c r="Q35" s="2">
        <f t="shared" si="2"/>
        <v>37842.277</v>
      </c>
      <c r="V35" t="s">
        <v>46</v>
      </c>
    </row>
    <row r="36" spans="1:22" ht="12.75">
      <c r="A36" t="s">
        <v>39</v>
      </c>
      <c r="C36" s="20">
        <v>52860.777</v>
      </c>
      <c r="D36" s="20">
        <v>0.00018999999999999998</v>
      </c>
      <c r="E36">
        <f t="shared" si="0"/>
        <v>12453.378091933071</v>
      </c>
      <c r="F36">
        <f t="shared" si="3"/>
        <v>12453.5</v>
      </c>
      <c r="G36">
        <f t="shared" si="4"/>
        <v>-0.18938149999303278</v>
      </c>
      <c r="K36">
        <f t="shared" si="5"/>
        <v>-0.18938149999303278</v>
      </c>
      <c r="O36">
        <f t="shared" si="1"/>
        <v>-0.18844561580210925</v>
      </c>
      <c r="Q36" s="2">
        <f t="shared" si="2"/>
        <v>37842.277</v>
      </c>
      <c r="V36" t="s">
        <v>46</v>
      </c>
    </row>
    <row r="37" spans="1:22" ht="12.75">
      <c r="A37" t="s">
        <v>40</v>
      </c>
      <c r="C37" s="20">
        <v>52860.7771</v>
      </c>
      <c r="D37" s="20">
        <v>0.00017</v>
      </c>
      <c r="E37">
        <f t="shared" si="0"/>
        <v>12453.378156304756</v>
      </c>
      <c r="F37">
        <f t="shared" si="3"/>
        <v>12453.5</v>
      </c>
      <c r="G37">
        <f t="shared" si="4"/>
        <v>-0.189281499995559</v>
      </c>
      <c r="K37">
        <f t="shared" si="5"/>
        <v>-0.189281499995559</v>
      </c>
      <c r="O37">
        <f t="shared" si="1"/>
        <v>-0.18844561580210925</v>
      </c>
      <c r="Q37" s="2">
        <f t="shared" si="2"/>
        <v>37842.2771</v>
      </c>
      <c r="V37" t="s">
        <v>46</v>
      </c>
    </row>
    <row r="38" spans="1:22" ht="12.75">
      <c r="A38" t="s">
        <v>41</v>
      </c>
      <c r="C38" s="20">
        <v>52867.7669</v>
      </c>
      <c r="D38" s="20">
        <v>0.00024</v>
      </c>
      <c r="E38">
        <f t="shared" si="0"/>
        <v>12457.8776085017</v>
      </c>
      <c r="F38">
        <f t="shared" si="3"/>
        <v>12458</v>
      </c>
      <c r="G38">
        <f t="shared" si="4"/>
        <v>-0.1901324999926146</v>
      </c>
      <c r="K38">
        <f t="shared" si="5"/>
        <v>-0.1901324999926146</v>
      </c>
      <c r="O38">
        <f t="shared" si="1"/>
        <v>-0.1883725939836981</v>
      </c>
      <c r="Q38" s="2">
        <f t="shared" si="2"/>
        <v>37849.2669</v>
      </c>
      <c r="V38" t="s">
        <v>46</v>
      </c>
    </row>
    <row r="39" spans="1:22" ht="12.75">
      <c r="A39" t="s">
        <v>42</v>
      </c>
      <c r="C39" s="20">
        <v>52867.7669</v>
      </c>
      <c r="D39" s="20">
        <v>0.00022</v>
      </c>
      <c r="E39">
        <f t="shared" si="0"/>
        <v>12457.8776085017</v>
      </c>
      <c r="F39">
        <f t="shared" si="3"/>
        <v>12458</v>
      </c>
      <c r="G39">
        <f t="shared" si="4"/>
        <v>-0.1901324999926146</v>
      </c>
      <c r="K39">
        <f t="shared" si="5"/>
        <v>-0.1901324999926146</v>
      </c>
      <c r="O39">
        <f t="shared" si="1"/>
        <v>-0.1883725939836981</v>
      </c>
      <c r="Q39" s="2">
        <f t="shared" si="2"/>
        <v>37849.2669</v>
      </c>
      <c r="V39" t="s">
        <v>46</v>
      </c>
    </row>
    <row r="40" spans="1:22" ht="12.75">
      <c r="A40" t="s">
        <v>33</v>
      </c>
      <c r="B40" s="6" t="s">
        <v>52</v>
      </c>
      <c r="C40" s="20">
        <v>52870.8742</v>
      </c>
      <c r="D40" s="20">
        <v>0.00011</v>
      </c>
      <c r="E40">
        <f t="shared" si="0"/>
        <v>12459.877829940302</v>
      </c>
      <c r="F40">
        <f t="shared" si="3"/>
        <v>12460</v>
      </c>
      <c r="G40">
        <f t="shared" si="4"/>
        <v>-0.1897884999998496</v>
      </c>
      <c r="K40">
        <f t="shared" si="5"/>
        <v>-0.1897884999998496</v>
      </c>
      <c r="O40">
        <f t="shared" si="1"/>
        <v>-0.18834013984218204</v>
      </c>
      <c r="Q40" s="2">
        <f t="shared" si="2"/>
        <v>37852.3742</v>
      </c>
      <c r="V40" t="s">
        <v>46</v>
      </c>
    </row>
    <row r="41" spans="1:22" ht="12.75">
      <c r="A41" t="s">
        <v>44</v>
      </c>
      <c r="C41" s="20">
        <v>52874.7582</v>
      </c>
      <c r="D41" s="20">
        <v>0.00018</v>
      </c>
      <c r="E41">
        <f t="shared" si="0"/>
        <v>12462.378026273947</v>
      </c>
      <c r="F41">
        <f t="shared" si="3"/>
        <v>12462.5</v>
      </c>
      <c r="G41">
        <f t="shared" si="4"/>
        <v>-0.1894834999984596</v>
      </c>
      <c r="K41">
        <f t="shared" si="5"/>
        <v>-0.1894834999984596</v>
      </c>
      <c r="O41">
        <f t="shared" si="1"/>
        <v>-0.18829957216528695</v>
      </c>
      <c r="Q41" s="2">
        <f t="shared" si="2"/>
        <v>37856.2582</v>
      </c>
      <c r="V41" t="s">
        <v>46</v>
      </c>
    </row>
    <row r="42" spans="1:22" ht="12.75">
      <c r="A42" t="s">
        <v>43</v>
      </c>
      <c r="C42" s="20">
        <v>52874.7583</v>
      </c>
      <c r="D42" s="20">
        <v>0.00017</v>
      </c>
      <c r="E42">
        <f t="shared" si="0"/>
        <v>12462.378090645638</v>
      </c>
      <c r="F42">
        <f t="shared" si="3"/>
        <v>12462.5</v>
      </c>
      <c r="G42">
        <f t="shared" si="4"/>
        <v>-0.18938349999370985</v>
      </c>
      <c r="K42">
        <f t="shared" si="5"/>
        <v>-0.18938349999370985</v>
      </c>
      <c r="O42">
        <f t="shared" si="1"/>
        <v>-0.18829957216528695</v>
      </c>
      <c r="Q42" s="2">
        <f t="shared" si="2"/>
        <v>37856.2583</v>
      </c>
      <c r="V42" t="s">
        <v>46</v>
      </c>
    </row>
    <row r="43" spans="1:17" ht="12.75">
      <c r="A43" s="18" t="s">
        <v>56</v>
      </c>
      <c r="B43" s="16"/>
      <c r="C43" s="22">
        <v>52886.4099</v>
      </c>
      <c r="D43" s="22">
        <v>0.0007</v>
      </c>
      <c r="E43">
        <f t="shared" si="0"/>
        <v>12469.878422159825</v>
      </c>
      <c r="F43">
        <f t="shared" si="3"/>
        <v>12470</v>
      </c>
      <c r="G43">
        <f t="shared" si="4"/>
        <v>-0.18886850000126287</v>
      </c>
      <c r="J43">
        <f>G43</f>
        <v>-0.18886850000126287</v>
      </c>
      <c r="O43">
        <f t="shared" si="1"/>
        <v>-0.1881778691346017</v>
      </c>
      <c r="Q43" s="2">
        <f t="shared" si="2"/>
        <v>37867.9099</v>
      </c>
    </row>
    <row r="44" spans="1:17" ht="12.75">
      <c r="A44" s="18" t="s">
        <v>57</v>
      </c>
      <c r="B44" s="19"/>
      <c r="C44" s="20">
        <v>53255.3647</v>
      </c>
      <c r="D44" s="20">
        <v>0.0004</v>
      </c>
      <c r="E44">
        <f t="shared" si="0"/>
        <v>12707.38085219102</v>
      </c>
      <c r="F44">
        <f t="shared" si="3"/>
        <v>12707.5</v>
      </c>
      <c r="G44">
        <f t="shared" si="4"/>
        <v>-0.18509350000385894</v>
      </c>
      <c r="J44">
        <f>G44</f>
        <v>-0.18509350000385894</v>
      </c>
      <c r="O44">
        <f t="shared" si="1"/>
        <v>-0.18432393982956863</v>
      </c>
      <c r="Q44" s="2">
        <f t="shared" si="2"/>
        <v>38236.8647</v>
      </c>
    </row>
    <row r="45" spans="1:17" ht="12.75">
      <c r="A45" s="18" t="s">
        <v>57</v>
      </c>
      <c r="B45" s="19"/>
      <c r="C45" s="20">
        <v>53282.5473</v>
      </c>
      <c r="D45" s="20">
        <v>0.0021</v>
      </c>
      <c r="E45">
        <f t="shared" si="0"/>
        <v>12724.87875045543</v>
      </c>
      <c r="F45">
        <f t="shared" si="3"/>
        <v>12725</v>
      </c>
      <c r="G45">
        <f t="shared" si="4"/>
        <v>-0.18835849999595666</v>
      </c>
      <c r="J45">
        <f>G45</f>
        <v>-0.18835849999595666</v>
      </c>
      <c r="O45">
        <f t="shared" si="1"/>
        <v>-0.18403996609130305</v>
      </c>
      <c r="Q45" s="2">
        <f t="shared" si="2"/>
        <v>38264.0473</v>
      </c>
    </row>
    <row r="46" spans="1:17" ht="12.75">
      <c r="A46" s="36" t="s">
        <v>66</v>
      </c>
      <c r="B46" s="6" t="s">
        <v>51</v>
      </c>
      <c r="C46" s="20">
        <v>53919.485</v>
      </c>
      <c r="D46" s="20">
        <v>0.0005</v>
      </c>
      <c r="E46">
        <f t="shared" si="0"/>
        <v>13134.886294817179</v>
      </c>
      <c r="F46">
        <f t="shared" si="3"/>
        <v>13135</v>
      </c>
      <c r="G46">
        <f t="shared" si="4"/>
        <v>-0.1766384999937145</v>
      </c>
      <c r="J46">
        <f>G46</f>
        <v>-0.1766384999937145</v>
      </c>
      <c r="O46">
        <f t="shared" si="1"/>
        <v>-0.17738686708050916</v>
      </c>
      <c r="Q46" s="2">
        <f t="shared" si="2"/>
        <v>38900.985</v>
      </c>
    </row>
    <row r="47" spans="1:17" ht="12.75">
      <c r="A47" s="35" t="s">
        <v>65</v>
      </c>
      <c r="B47" s="6" t="s">
        <v>52</v>
      </c>
      <c r="C47" s="20">
        <v>53919.4873</v>
      </c>
      <c r="D47" s="20">
        <v>0.0007</v>
      </c>
      <c r="E47">
        <f t="shared" si="0"/>
        <v>13134.887775365987</v>
      </c>
      <c r="F47">
        <f t="shared" si="3"/>
        <v>13135</v>
      </c>
      <c r="G47">
        <f t="shared" si="4"/>
        <v>-0.17433849999360973</v>
      </c>
      <c r="K47">
        <f>G47</f>
        <v>-0.17433849999360973</v>
      </c>
      <c r="O47">
        <f t="shared" si="1"/>
        <v>-0.17738686708050916</v>
      </c>
      <c r="Q47" s="2">
        <f t="shared" si="2"/>
        <v>38900.9873</v>
      </c>
    </row>
    <row r="48" spans="1:17" ht="12.75">
      <c r="A48" s="35" t="s">
        <v>65</v>
      </c>
      <c r="B48" s="38" t="s">
        <v>52</v>
      </c>
      <c r="C48" s="37">
        <v>53919.4873</v>
      </c>
      <c r="D48" s="37">
        <v>0.0007</v>
      </c>
      <c r="E48">
        <f t="shared" si="0"/>
        <v>13134.887775365987</v>
      </c>
      <c r="F48">
        <f t="shared" si="3"/>
        <v>13135</v>
      </c>
      <c r="G48">
        <f t="shared" si="4"/>
        <v>-0.17433849999360973</v>
      </c>
      <c r="K48">
        <f>G48</f>
        <v>-0.17433849999360973</v>
      </c>
      <c r="O48">
        <f t="shared" si="1"/>
        <v>-0.17738686708050916</v>
      </c>
      <c r="Q48" s="2">
        <f t="shared" si="2"/>
        <v>38900.9873</v>
      </c>
    </row>
    <row r="49" spans="1:17" ht="12.75">
      <c r="A49" s="37" t="s">
        <v>67</v>
      </c>
      <c r="B49" s="6" t="s">
        <v>51</v>
      </c>
      <c r="C49" s="20">
        <v>53940.4569</v>
      </c>
      <c r="D49" s="20">
        <v>0.0002</v>
      </c>
      <c r="E49">
        <f t="shared" si="0"/>
        <v>13148.386260700183</v>
      </c>
      <c r="F49">
        <f t="shared" si="3"/>
        <v>13148.5</v>
      </c>
      <c r="G49">
        <f t="shared" si="4"/>
        <v>-0.17669149999710498</v>
      </c>
      <c r="J49">
        <f>G49</f>
        <v>-0.17669149999710498</v>
      </c>
      <c r="O49">
        <f t="shared" si="1"/>
        <v>-0.17716780162527568</v>
      </c>
      <c r="Q49" s="2">
        <f t="shared" si="2"/>
        <v>38921.9569</v>
      </c>
    </row>
    <row r="50" spans="1:17" ht="12.75">
      <c r="A50" s="36" t="s">
        <v>66</v>
      </c>
      <c r="B50" s="6" t="s">
        <v>51</v>
      </c>
      <c r="C50" s="20">
        <v>54031.3366</v>
      </c>
      <c r="D50" s="20">
        <v>0.0024</v>
      </c>
      <c r="E50">
        <f t="shared" si="0"/>
        <v>13206.887056977957</v>
      </c>
      <c r="F50">
        <f t="shared" si="3"/>
        <v>13207</v>
      </c>
      <c r="G50">
        <f t="shared" si="4"/>
        <v>-0.17545449999306584</v>
      </c>
      <c r="J50">
        <f>G50</f>
        <v>-0.17545449999306584</v>
      </c>
      <c r="O50">
        <f t="shared" si="1"/>
        <v>-0.17621851798593072</v>
      </c>
      <c r="Q50" s="2">
        <f t="shared" si="2"/>
        <v>39012.8366</v>
      </c>
    </row>
    <row r="51" spans="1:17" ht="12.75">
      <c r="A51" s="66" t="s">
        <v>166</v>
      </c>
      <c r="B51" s="67" t="s">
        <v>52</v>
      </c>
      <c r="C51" s="66">
        <v>54312.5167</v>
      </c>
      <c r="D51" s="66" t="s">
        <v>85</v>
      </c>
      <c r="E51">
        <f t="shared" si="0"/>
        <v>13387.887431621177</v>
      </c>
      <c r="F51">
        <f t="shared" si="3"/>
        <v>13388</v>
      </c>
      <c r="G51">
        <f t="shared" si="4"/>
        <v>-0.17487249999976484</v>
      </c>
      <c r="K51">
        <f>G51</f>
        <v>-0.17487249999976484</v>
      </c>
      <c r="O51">
        <f t="shared" si="1"/>
        <v>-0.17328141817872658</v>
      </c>
      <c r="Q51" s="2">
        <f t="shared" si="2"/>
        <v>39294.0167</v>
      </c>
    </row>
    <row r="52" spans="1:17" ht="12.75">
      <c r="A52" s="66" t="s">
        <v>166</v>
      </c>
      <c r="B52" s="67" t="s">
        <v>52</v>
      </c>
      <c r="C52" s="66">
        <v>54337.3742</v>
      </c>
      <c r="D52" s="66" t="s">
        <v>85</v>
      </c>
      <c r="E52">
        <f t="shared" si="0"/>
        <v>13403.888623784824</v>
      </c>
      <c r="F52">
        <f t="shared" si="3"/>
        <v>13404</v>
      </c>
      <c r="G52">
        <f t="shared" si="4"/>
        <v>-0.17302049999852898</v>
      </c>
      <c r="K52">
        <f>G52</f>
        <v>-0.17302049999852898</v>
      </c>
      <c r="O52">
        <f t="shared" si="1"/>
        <v>-0.17302178504659804</v>
      </c>
      <c r="Q52" s="2">
        <f t="shared" si="2"/>
        <v>39318.8742</v>
      </c>
    </row>
    <row r="53" spans="1:17" ht="12.75">
      <c r="A53" s="66" t="s">
        <v>175</v>
      </c>
      <c r="B53" s="67" t="s">
        <v>52</v>
      </c>
      <c r="C53" s="66">
        <v>54737.3998</v>
      </c>
      <c r="D53" s="66" t="s">
        <v>85</v>
      </c>
      <c r="E53">
        <f t="shared" si="0"/>
        <v>13661.39185202494</v>
      </c>
      <c r="F53">
        <f t="shared" si="3"/>
        <v>13661.5</v>
      </c>
      <c r="G53">
        <f t="shared" si="4"/>
        <v>-0.16800550000334624</v>
      </c>
      <c r="K53">
        <f>G53</f>
        <v>-0.16800550000334624</v>
      </c>
      <c r="O53">
        <f t="shared" si="1"/>
        <v>-0.16884331432640431</v>
      </c>
      <c r="Q53" s="2">
        <f t="shared" si="2"/>
        <v>39718.8998</v>
      </c>
    </row>
    <row r="54" spans="1:17" ht="12.75">
      <c r="A54" s="66" t="s">
        <v>180</v>
      </c>
      <c r="B54" s="67" t="s">
        <v>52</v>
      </c>
      <c r="C54" s="66">
        <v>55064.4099</v>
      </c>
      <c r="D54" s="66" t="s">
        <v>85</v>
      </c>
      <c r="E54">
        <f t="shared" si="0"/>
        <v>13871.893770944938</v>
      </c>
      <c r="F54">
        <f t="shared" si="3"/>
        <v>13872</v>
      </c>
      <c r="G54">
        <f t="shared" si="4"/>
        <v>-0.1650244999982533</v>
      </c>
      <c r="K54">
        <f>G54</f>
        <v>-0.1650244999982533</v>
      </c>
      <c r="O54">
        <f t="shared" si="1"/>
        <v>-0.16542751593183816</v>
      </c>
      <c r="Q54" s="2">
        <f t="shared" si="2"/>
        <v>40045.9099</v>
      </c>
    </row>
    <row r="55" spans="1:17" ht="12.75">
      <c r="A55" s="51" t="s">
        <v>73</v>
      </c>
      <c r="B55" s="51"/>
      <c r="C55" s="46">
        <v>55460.552</v>
      </c>
      <c r="D55" s="46">
        <v>0.0003</v>
      </c>
      <c r="E55">
        <f t="shared" si="0"/>
        <v>14126.897124709847</v>
      </c>
      <c r="F55">
        <f t="shared" si="3"/>
        <v>14127</v>
      </c>
      <c r="G55">
        <f t="shared" si="4"/>
        <v>-0.15981449999526376</v>
      </c>
      <c r="J55">
        <f>G55</f>
        <v>-0.15981449999526376</v>
      </c>
      <c r="O55">
        <f t="shared" si="1"/>
        <v>-0.16128961288853952</v>
      </c>
      <c r="Q55" s="2">
        <f t="shared" si="2"/>
        <v>40442.052</v>
      </c>
    </row>
    <row r="56" spans="1:17" ht="12.75">
      <c r="A56" s="66" t="s">
        <v>190</v>
      </c>
      <c r="B56" s="67" t="s">
        <v>52</v>
      </c>
      <c r="C56" s="66">
        <v>55805.4293</v>
      </c>
      <c r="D56" s="66" t="s">
        <v>85</v>
      </c>
      <c r="E56">
        <f t="shared" si="0"/>
        <v>14348.900461738116</v>
      </c>
      <c r="F56">
        <f t="shared" si="3"/>
        <v>14349</v>
      </c>
      <c r="G56">
        <f t="shared" si="4"/>
        <v>-0.15463049999380019</v>
      </c>
      <c r="K56">
        <f>G56</f>
        <v>-0.15463049999380019</v>
      </c>
      <c r="O56">
        <f t="shared" si="1"/>
        <v>-0.157687203180256</v>
      </c>
      <c r="Q56" s="2">
        <f t="shared" si="2"/>
        <v>40786.9293</v>
      </c>
    </row>
    <row r="57" spans="1:17" ht="12.75">
      <c r="A57" s="66" t="s">
        <v>190</v>
      </c>
      <c r="B57" s="67" t="s">
        <v>52</v>
      </c>
      <c r="C57" s="66">
        <v>55839.6062</v>
      </c>
      <c r="D57" s="66" t="s">
        <v>85</v>
      </c>
      <c r="E57">
        <f t="shared" si="0"/>
        <v>14370.900708925394</v>
      </c>
      <c r="F57">
        <f t="shared" si="3"/>
        <v>14371</v>
      </c>
      <c r="G57">
        <f t="shared" si="4"/>
        <v>-0.1542464999947697</v>
      </c>
      <c r="K57">
        <f>G57</f>
        <v>-0.1542464999947697</v>
      </c>
      <c r="O57">
        <f t="shared" si="1"/>
        <v>-0.15733020762357924</v>
      </c>
      <c r="Q57" s="2">
        <f t="shared" si="2"/>
        <v>40821.1062</v>
      </c>
    </row>
    <row r="58" spans="1:17" ht="12.75">
      <c r="A58" s="43" t="s">
        <v>69</v>
      </c>
      <c r="B58" s="44" t="s">
        <v>51</v>
      </c>
      <c r="C58" s="45">
        <v>56167.3911</v>
      </c>
      <c r="D58" s="45">
        <v>0.0023</v>
      </c>
      <c r="E58">
        <f t="shared" si="0"/>
        <v>14581.901379678375</v>
      </c>
      <c r="F58">
        <f t="shared" si="3"/>
        <v>14582</v>
      </c>
      <c r="G58">
        <f t="shared" si="4"/>
        <v>-0.15320449999853736</v>
      </c>
      <c r="J58">
        <f>G58</f>
        <v>-0.15320449999853736</v>
      </c>
      <c r="O58">
        <f t="shared" si="1"/>
        <v>-0.1539062956936341</v>
      </c>
      <c r="Q58" s="2">
        <f t="shared" si="2"/>
        <v>41148.8911</v>
      </c>
    </row>
    <row r="59" spans="1:17" ht="12.75">
      <c r="A59" s="43" t="s">
        <v>69</v>
      </c>
      <c r="B59" s="44" t="s">
        <v>51</v>
      </c>
      <c r="C59" s="45">
        <v>56188.363</v>
      </c>
      <c r="D59" s="45">
        <v>0.0058</v>
      </c>
      <c r="E59">
        <f t="shared" si="0"/>
        <v>14595.401345561379</v>
      </c>
      <c r="F59">
        <f t="shared" si="3"/>
        <v>14595.5</v>
      </c>
      <c r="G59">
        <f t="shared" si="4"/>
        <v>-0.15325750000192784</v>
      </c>
      <c r="J59">
        <f>G59</f>
        <v>-0.15325750000192784</v>
      </c>
      <c r="O59">
        <f t="shared" si="1"/>
        <v>-0.15368723023840064</v>
      </c>
      <c r="Q59" s="2">
        <f t="shared" si="2"/>
        <v>41169.863</v>
      </c>
    </row>
    <row r="60" spans="1:17" ht="12.75">
      <c r="A60" s="48" t="s">
        <v>72</v>
      </c>
      <c r="B60" s="49" t="s">
        <v>52</v>
      </c>
      <c r="C60" s="45">
        <v>56592.2741</v>
      </c>
      <c r="D60" s="50">
        <v>0.0009</v>
      </c>
      <c r="E60">
        <f t="shared" si="0"/>
        <v>14855.405735710454</v>
      </c>
      <c r="F60">
        <f t="shared" si="3"/>
        <v>14855.5</v>
      </c>
      <c r="G60">
        <f t="shared" si="4"/>
        <v>-0.14643749999959255</v>
      </c>
      <c r="J60">
        <f>G60</f>
        <v>-0.14643749999959255</v>
      </c>
      <c r="O60">
        <f t="shared" si="1"/>
        <v>-0.14946819184131183</v>
      </c>
      <c r="Q60" s="2">
        <f t="shared" si="2"/>
        <v>41573.7741</v>
      </c>
    </row>
    <row r="61" spans="1:17" ht="12.75">
      <c r="A61" s="47" t="s">
        <v>74</v>
      </c>
      <c r="B61" s="52"/>
      <c r="C61" s="47">
        <v>56928.6055</v>
      </c>
      <c r="D61" s="47">
        <v>0.0018</v>
      </c>
      <c r="E61">
        <f t="shared" si="0"/>
        <v>15071.907932716138</v>
      </c>
      <c r="F61">
        <f t="shared" si="3"/>
        <v>15072</v>
      </c>
      <c r="G61">
        <f t="shared" si="4"/>
        <v>-0.14302450000104727</v>
      </c>
      <c r="J61">
        <f>G61</f>
        <v>-0.14302450000104727</v>
      </c>
      <c r="O61">
        <f t="shared" si="1"/>
        <v>-0.14595503102219748</v>
      </c>
      <c r="Q61" s="2">
        <f t="shared" si="2"/>
        <v>41910.1055</v>
      </c>
    </row>
    <row r="62" spans="1:17" ht="12.75">
      <c r="A62" s="70" t="s">
        <v>0</v>
      </c>
      <c r="B62" s="71" t="s">
        <v>52</v>
      </c>
      <c r="C62" s="72">
        <v>57277.3643</v>
      </c>
      <c r="D62" s="72">
        <v>0.0002</v>
      </c>
      <c r="E62">
        <f>+(C62-C$7)/C$8</f>
        <v>15296.409856785873</v>
      </c>
      <c r="F62">
        <f t="shared" si="3"/>
        <v>15296.5</v>
      </c>
      <c r="G62">
        <f>+C62-(C$7+F62*C$8)</f>
        <v>-0.14003549999324605</v>
      </c>
      <c r="K62">
        <f>G62</f>
        <v>-0.14003549999324605</v>
      </c>
      <c r="O62">
        <f>+C$11+C$12*F62</f>
        <v>-0.14231205363701888</v>
      </c>
      <c r="Q62" s="2">
        <f>+C62-15018.5</f>
        <v>42258.8643</v>
      </c>
    </row>
  </sheetData>
  <sheetProtection/>
  <hyperlinks>
    <hyperlink ref="H941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C1" sqref="C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29</v>
      </c>
      <c r="C1" s="15" t="s">
        <v>54</v>
      </c>
    </row>
    <row r="2" ht="12.75">
      <c r="A2" t="s">
        <v>26</v>
      </c>
    </row>
    <row r="4" spans="1:4" ht="12.75">
      <c r="A4" s="8" t="s">
        <v>1</v>
      </c>
      <c r="C4" s="3">
        <v>33513.563</v>
      </c>
      <c r="D4" s="4">
        <v>0.776739</v>
      </c>
    </row>
    <row r="6" ht="12.75">
      <c r="A6" s="8" t="s">
        <v>2</v>
      </c>
    </row>
    <row r="7" spans="1:3" ht="12.75">
      <c r="A7" t="s">
        <v>3</v>
      </c>
      <c r="C7">
        <f>+C4+3*D4/2</f>
        <v>33514.7281085</v>
      </c>
    </row>
    <row r="8" spans="1:3" ht="12.75">
      <c r="A8" t="s">
        <v>4</v>
      </c>
      <c r="C8">
        <f>+D4</f>
        <v>0.776739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17</v>
      </c>
      <c r="C11">
        <f>INTERCEPT(G21:G26,F21:F26)</f>
        <v>-0.3883572320831646</v>
      </c>
      <c r="D11" s="6"/>
    </row>
    <row r="12" spans="1:4" ht="12.75">
      <c r="A12" t="s">
        <v>18</v>
      </c>
      <c r="C12">
        <f>SLOPE(G21:G26,F21:F26)</f>
        <v>7.957364097759055E-06</v>
      </c>
      <c r="D12" s="6"/>
    </row>
    <row r="13" spans="1:4" ht="12.75">
      <c r="A13" t="s">
        <v>20</v>
      </c>
      <c r="C13" s="6" t="s">
        <v>15</v>
      </c>
      <c r="D13" s="6"/>
    </row>
    <row r="14" ht="12.75">
      <c r="A14" t="s">
        <v>25</v>
      </c>
    </row>
    <row r="15" spans="1:3" ht="12.75">
      <c r="A15" s="5" t="s">
        <v>19</v>
      </c>
      <c r="C15">
        <v>52874.7583</v>
      </c>
    </row>
    <row r="16" spans="1:3" ht="12.75">
      <c r="A16" s="8" t="s">
        <v>5</v>
      </c>
      <c r="C16">
        <f>+C8+C12</f>
        <v>0.7767469573640977</v>
      </c>
    </row>
    <row r="17" ht="13.5" thickBot="1"/>
    <row r="18" spans="1:4" ht="12.75">
      <c r="A18" s="8" t="s">
        <v>6</v>
      </c>
      <c r="C18" s="3">
        <f>+C15</f>
        <v>52874.7583</v>
      </c>
      <c r="D18" s="4">
        <f>+C16</f>
        <v>0.7767469573640977</v>
      </c>
    </row>
    <row r="19" ht="13.5" thickTop="1"/>
    <row r="20" spans="1:17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30</v>
      </c>
      <c r="J20" s="10" t="s">
        <v>45</v>
      </c>
      <c r="K20" s="10" t="s">
        <v>31</v>
      </c>
      <c r="L20" s="10" t="s">
        <v>49</v>
      </c>
      <c r="M20" s="10" t="s">
        <v>27</v>
      </c>
      <c r="N20" s="10" t="s">
        <v>28</v>
      </c>
      <c r="O20" s="10" t="s">
        <v>24</v>
      </c>
      <c r="P20" s="9" t="s">
        <v>23</v>
      </c>
      <c r="Q20" s="7" t="s">
        <v>16</v>
      </c>
    </row>
    <row r="21" spans="1:17" ht="12.75">
      <c r="A21" t="s">
        <v>13</v>
      </c>
      <c r="C21">
        <v>33513.563</v>
      </c>
      <c r="D21" s="6" t="s">
        <v>15</v>
      </c>
      <c r="E21">
        <f aca="true" t="shared" si="0" ref="E21:E37">+(C21-C$7)/C$8</f>
        <v>-1.499999999996893</v>
      </c>
      <c r="F21" s="13">
        <v>-1</v>
      </c>
      <c r="G21">
        <f aca="true" t="shared" si="1" ref="G21:G37">+C21-(C$7+F21*C$8)</f>
        <v>-0.3883694999967702</v>
      </c>
      <c r="H21">
        <f>+G21</f>
        <v>-0.3883694999967702</v>
      </c>
      <c r="O21">
        <f aca="true" t="shared" si="2" ref="O21:O37">+C$11+C$12*F21</f>
        <v>-0.38836518944726234</v>
      </c>
      <c r="Q21" s="2">
        <f aca="true" t="shared" si="3" ref="Q21:Q37">+C21-15018.5</f>
        <v>18495.063000000002</v>
      </c>
    </row>
    <row r="22" spans="1:17" ht="12.75">
      <c r="A22" t="s">
        <v>50</v>
      </c>
      <c r="C22">
        <v>52225.3976</v>
      </c>
      <c r="D22" s="6"/>
      <c r="E22">
        <f t="shared" si="0"/>
        <v>24088.74730314816</v>
      </c>
      <c r="F22" s="13">
        <f>ROUND(2*E22,0)/2+0.5</f>
        <v>24089</v>
      </c>
      <c r="G22">
        <f t="shared" si="1"/>
        <v>-0.19627949999994598</v>
      </c>
      <c r="L22">
        <f>G22</f>
        <v>-0.19627949999994598</v>
      </c>
      <c r="O22">
        <f t="shared" si="2"/>
        <v>-0.1966722883322467</v>
      </c>
      <c r="Q22" s="2">
        <f t="shared" si="3"/>
        <v>37206.8976</v>
      </c>
    </row>
    <row r="23" spans="1:18" ht="12.75">
      <c r="A23" t="s">
        <v>48</v>
      </c>
      <c r="C23" s="12">
        <v>52503.4722</v>
      </c>
      <c r="D23" s="12">
        <v>0.0012</v>
      </c>
      <c r="E23">
        <f t="shared" si="0"/>
        <v>24446.749926938133</v>
      </c>
      <c r="F23" s="13">
        <f>ROUND(2*E23,0)/2+0.5</f>
        <v>24447</v>
      </c>
      <c r="G23">
        <f t="shared" si="1"/>
        <v>-0.1942415000012261</v>
      </c>
      <c r="L23" s="14">
        <f>G23</f>
        <v>-0.1942415000012261</v>
      </c>
      <c r="O23">
        <f t="shared" si="2"/>
        <v>-0.19382355198524898</v>
      </c>
      <c r="Q23" s="2">
        <f t="shared" si="3"/>
        <v>37484.9722</v>
      </c>
      <c r="R23" s="14"/>
    </row>
    <row r="24" spans="1:17" ht="12.75">
      <c r="A24" s="8" t="s">
        <v>47</v>
      </c>
      <c r="C24">
        <v>52769.8966</v>
      </c>
      <c r="D24" s="12">
        <v>0.0002</v>
      </c>
      <c r="E24">
        <f t="shared" si="0"/>
        <v>24789.753690106976</v>
      </c>
      <c r="F24">
        <f aca="true" t="shared" si="4" ref="F24:F37">ROUND(2*E24,0)/2</f>
        <v>24790</v>
      </c>
      <c r="G24">
        <f t="shared" si="1"/>
        <v>-0.19131849999394035</v>
      </c>
      <c r="I24">
        <f>G24</f>
        <v>-0.19131849999394035</v>
      </c>
      <c r="O24">
        <f t="shared" si="2"/>
        <v>-0.1910941760997176</v>
      </c>
      <c r="Q24" s="2">
        <f t="shared" si="3"/>
        <v>37751.3966</v>
      </c>
    </row>
    <row r="25" spans="1:18" ht="12.75">
      <c r="A25" t="s">
        <v>35</v>
      </c>
      <c r="C25">
        <v>52846.794850000006</v>
      </c>
      <c r="D25" s="12">
        <v>0.00068</v>
      </c>
      <c r="E25">
        <f t="shared" si="0"/>
        <v>24888.75509212233</v>
      </c>
      <c r="F25">
        <f t="shared" si="4"/>
        <v>24889</v>
      </c>
      <c r="G25">
        <f t="shared" si="1"/>
        <v>-0.1902294999890728</v>
      </c>
      <c r="K25">
        <f>G25</f>
        <v>-0.1902294999890728</v>
      </c>
      <c r="O25">
        <f t="shared" si="2"/>
        <v>-0.19030639705403946</v>
      </c>
      <c r="Q25" s="2">
        <f t="shared" si="3"/>
        <v>37828.294850000006</v>
      </c>
      <c r="R25" t="s">
        <v>46</v>
      </c>
    </row>
    <row r="26" spans="1:18" ht="12.75">
      <c r="A26" t="s">
        <v>34</v>
      </c>
      <c r="C26">
        <v>52846.79495</v>
      </c>
      <c r="D26" s="12">
        <v>0.00061</v>
      </c>
      <c r="E26">
        <f t="shared" si="0"/>
        <v>24888.755220865703</v>
      </c>
      <c r="F26">
        <f t="shared" si="4"/>
        <v>24889</v>
      </c>
      <c r="G26">
        <f t="shared" si="1"/>
        <v>-0.190129499991599</v>
      </c>
      <c r="K26">
        <f>G26</f>
        <v>-0.190129499991599</v>
      </c>
      <c r="O26">
        <f t="shared" si="2"/>
        <v>-0.19030639705403946</v>
      </c>
      <c r="Q26" s="2">
        <f t="shared" si="3"/>
        <v>37828.29495</v>
      </c>
      <c r="R26" t="s">
        <v>46</v>
      </c>
    </row>
    <row r="27" spans="1:18" ht="12.75">
      <c r="A27" t="s">
        <v>36</v>
      </c>
      <c r="C27">
        <v>52853.78635</v>
      </c>
      <c r="D27" s="12">
        <v>0.00036</v>
      </c>
      <c r="E27">
        <f t="shared" si="0"/>
        <v>24897.756185153576</v>
      </c>
      <c r="F27">
        <f t="shared" si="4"/>
        <v>24898</v>
      </c>
      <c r="G27">
        <f t="shared" si="1"/>
        <v>-0.18938049999269424</v>
      </c>
      <c r="K27">
        <f>G27</f>
        <v>-0.18938049999269424</v>
      </c>
      <c r="O27">
        <f t="shared" si="2"/>
        <v>-0.19023478077715963</v>
      </c>
      <c r="Q27" s="2">
        <f t="shared" si="3"/>
        <v>37835.28635</v>
      </c>
      <c r="R27" t="s">
        <v>46</v>
      </c>
    </row>
    <row r="28" spans="1:18" ht="12.75">
      <c r="A28" t="s">
        <v>37</v>
      </c>
      <c r="C28">
        <v>52853.78635</v>
      </c>
      <c r="D28" s="12">
        <v>0.00043</v>
      </c>
      <c r="E28">
        <f t="shared" si="0"/>
        <v>24897.756185153576</v>
      </c>
      <c r="F28">
        <f t="shared" si="4"/>
        <v>24898</v>
      </c>
      <c r="G28">
        <f t="shared" si="1"/>
        <v>-0.18938049999269424</v>
      </c>
      <c r="K28">
        <f>G28</f>
        <v>-0.18938049999269424</v>
      </c>
      <c r="O28">
        <f t="shared" si="2"/>
        <v>-0.19023478077715963</v>
      </c>
      <c r="Q28" s="2">
        <f t="shared" si="3"/>
        <v>37835.28635</v>
      </c>
      <c r="R28" t="s">
        <v>46</v>
      </c>
    </row>
    <row r="29" spans="1:18" ht="12.75">
      <c r="A29" t="s">
        <v>32</v>
      </c>
      <c r="C29" s="11">
        <v>52860.77564</v>
      </c>
      <c r="D29" s="12">
        <v>0.00011</v>
      </c>
      <c r="E29">
        <f t="shared" si="0"/>
        <v>24906.754432956244</v>
      </c>
      <c r="F29">
        <f t="shared" si="4"/>
        <v>24907</v>
      </c>
      <c r="G29">
        <f t="shared" si="1"/>
        <v>-0.19074149999505607</v>
      </c>
      <c r="J29">
        <f>G29</f>
        <v>-0.19074149999505607</v>
      </c>
      <c r="O29">
        <f t="shared" si="2"/>
        <v>-0.1901631645002798</v>
      </c>
      <c r="Q29" s="2">
        <f t="shared" si="3"/>
        <v>37842.27564</v>
      </c>
      <c r="R29" t="s">
        <v>46</v>
      </c>
    </row>
    <row r="30" spans="1:18" ht="12.75">
      <c r="A30" t="s">
        <v>38</v>
      </c>
      <c r="C30">
        <v>52860.777</v>
      </c>
      <c r="D30" s="12">
        <v>0.00017</v>
      </c>
      <c r="E30">
        <f t="shared" si="0"/>
        <v>24906.756183866142</v>
      </c>
      <c r="F30">
        <f t="shared" si="4"/>
        <v>24907</v>
      </c>
      <c r="G30">
        <f t="shared" si="1"/>
        <v>-0.18938149999303278</v>
      </c>
      <c r="K30">
        <f>G30</f>
        <v>-0.18938149999303278</v>
      </c>
      <c r="O30">
        <f t="shared" si="2"/>
        <v>-0.1901631645002798</v>
      </c>
      <c r="Q30" s="2">
        <f t="shared" si="3"/>
        <v>37842.277</v>
      </c>
      <c r="R30" t="s">
        <v>46</v>
      </c>
    </row>
    <row r="31" spans="1:18" ht="12.75">
      <c r="A31" t="s">
        <v>39</v>
      </c>
      <c r="C31">
        <v>52860.777</v>
      </c>
      <c r="D31" s="12">
        <v>0.00018999999999999998</v>
      </c>
      <c r="E31">
        <f t="shared" si="0"/>
        <v>24906.756183866142</v>
      </c>
      <c r="F31">
        <f t="shared" si="4"/>
        <v>24907</v>
      </c>
      <c r="G31">
        <f t="shared" si="1"/>
        <v>-0.18938149999303278</v>
      </c>
      <c r="K31">
        <f>G31</f>
        <v>-0.18938149999303278</v>
      </c>
      <c r="O31">
        <f t="shared" si="2"/>
        <v>-0.1901631645002798</v>
      </c>
      <c r="Q31" s="2">
        <f t="shared" si="3"/>
        <v>37842.277</v>
      </c>
      <c r="R31" t="s">
        <v>46</v>
      </c>
    </row>
    <row r="32" spans="1:18" ht="12.75">
      <c r="A32" t="s">
        <v>40</v>
      </c>
      <c r="C32">
        <v>52860.7771</v>
      </c>
      <c r="D32" s="12">
        <v>0.00017</v>
      </c>
      <c r="E32">
        <f t="shared" si="0"/>
        <v>24906.756312609512</v>
      </c>
      <c r="F32">
        <f t="shared" si="4"/>
        <v>24907</v>
      </c>
      <c r="G32">
        <f t="shared" si="1"/>
        <v>-0.189281499995559</v>
      </c>
      <c r="K32">
        <f>G32</f>
        <v>-0.189281499995559</v>
      </c>
      <c r="O32">
        <f t="shared" si="2"/>
        <v>-0.1901631645002798</v>
      </c>
      <c r="Q32" s="2">
        <f t="shared" si="3"/>
        <v>37842.2771</v>
      </c>
      <c r="R32" t="s">
        <v>46</v>
      </c>
    </row>
    <row r="33" spans="1:18" ht="12.75">
      <c r="A33" t="s">
        <v>41</v>
      </c>
      <c r="C33">
        <v>52867.7669</v>
      </c>
      <c r="D33" s="12">
        <v>0.00024</v>
      </c>
      <c r="E33">
        <f t="shared" si="0"/>
        <v>24915.7552170034</v>
      </c>
      <c r="F33">
        <f t="shared" si="4"/>
        <v>24916</v>
      </c>
      <c r="G33">
        <f t="shared" si="1"/>
        <v>-0.1901324999926146</v>
      </c>
      <c r="K33">
        <f>G33</f>
        <v>-0.1901324999926146</v>
      </c>
      <c r="O33">
        <f t="shared" si="2"/>
        <v>-0.19009154822339996</v>
      </c>
      <c r="Q33" s="2">
        <f t="shared" si="3"/>
        <v>37849.2669</v>
      </c>
      <c r="R33" t="s">
        <v>46</v>
      </c>
    </row>
    <row r="34" spans="1:18" ht="12.75">
      <c r="A34" t="s">
        <v>42</v>
      </c>
      <c r="C34">
        <v>52867.7669</v>
      </c>
      <c r="D34" s="12">
        <v>0.00022</v>
      </c>
      <c r="E34">
        <f t="shared" si="0"/>
        <v>24915.7552170034</v>
      </c>
      <c r="F34">
        <f t="shared" si="4"/>
        <v>24916</v>
      </c>
      <c r="G34">
        <f t="shared" si="1"/>
        <v>-0.1901324999926146</v>
      </c>
      <c r="K34">
        <f>G34</f>
        <v>-0.1901324999926146</v>
      </c>
      <c r="O34">
        <f t="shared" si="2"/>
        <v>-0.19009154822339996</v>
      </c>
      <c r="Q34" s="2">
        <f t="shared" si="3"/>
        <v>37849.2669</v>
      </c>
      <c r="R34" t="s">
        <v>46</v>
      </c>
    </row>
    <row r="35" spans="1:18" ht="12.75">
      <c r="A35" t="s">
        <v>33</v>
      </c>
      <c r="C35">
        <v>52870.8742</v>
      </c>
      <c r="D35" s="12">
        <v>0.00011</v>
      </c>
      <c r="E35">
        <f t="shared" si="0"/>
        <v>24919.755659880604</v>
      </c>
      <c r="F35">
        <f t="shared" si="4"/>
        <v>24920</v>
      </c>
      <c r="G35">
        <f t="shared" si="1"/>
        <v>-0.1897884999998496</v>
      </c>
      <c r="J35">
        <f>G35</f>
        <v>-0.1897884999998496</v>
      </c>
      <c r="O35">
        <f t="shared" si="2"/>
        <v>-0.19005971876700894</v>
      </c>
      <c r="Q35" s="2">
        <f t="shared" si="3"/>
        <v>37852.3742</v>
      </c>
      <c r="R35" t="s">
        <v>46</v>
      </c>
    </row>
    <row r="36" spans="1:18" ht="12.75">
      <c r="A36" t="s">
        <v>44</v>
      </c>
      <c r="C36">
        <v>52874.7582</v>
      </c>
      <c r="D36" s="12">
        <v>0.00018</v>
      </c>
      <c r="E36">
        <f t="shared" si="0"/>
        <v>24924.756052547895</v>
      </c>
      <c r="F36">
        <f t="shared" si="4"/>
        <v>24925</v>
      </c>
      <c r="G36">
        <f t="shared" si="1"/>
        <v>-0.1894834999984596</v>
      </c>
      <c r="K36">
        <f>G36</f>
        <v>-0.1894834999984596</v>
      </c>
      <c r="O36">
        <f t="shared" si="2"/>
        <v>-0.19001993194652014</v>
      </c>
      <c r="Q36" s="2">
        <f t="shared" si="3"/>
        <v>37856.2582</v>
      </c>
      <c r="R36" t="s">
        <v>46</v>
      </c>
    </row>
    <row r="37" spans="1:18" ht="12.75">
      <c r="A37" t="s">
        <v>43</v>
      </c>
      <c r="C37">
        <v>52874.7583</v>
      </c>
      <c r="D37" s="12">
        <v>0.00017</v>
      </c>
      <c r="E37">
        <f t="shared" si="0"/>
        <v>24924.756181291275</v>
      </c>
      <c r="F37">
        <f t="shared" si="4"/>
        <v>24925</v>
      </c>
      <c r="G37">
        <f t="shared" si="1"/>
        <v>-0.18938349999370985</v>
      </c>
      <c r="K37">
        <f>G37</f>
        <v>-0.18938349999370985</v>
      </c>
      <c r="O37">
        <f t="shared" si="2"/>
        <v>-0.19001993194652014</v>
      </c>
      <c r="Q37" s="2">
        <f t="shared" si="3"/>
        <v>37856.2583</v>
      </c>
      <c r="R37" t="s">
        <v>46</v>
      </c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2"/>
  <sheetViews>
    <sheetView zoomScalePageLayoutView="0" workbookViewId="0" topLeftCell="A1">
      <selection activeCell="A26" sqref="A26:D36"/>
    </sheetView>
  </sheetViews>
  <sheetFormatPr defaultColWidth="9.140625" defaultRowHeight="12.75"/>
  <cols>
    <col min="1" max="1" width="19.7109375" style="20" customWidth="1"/>
    <col min="2" max="2" width="4.421875" style="24" customWidth="1"/>
    <col min="3" max="3" width="12.7109375" style="20" customWidth="1"/>
    <col min="4" max="4" width="5.421875" style="24" customWidth="1"/>
    <col min="5" max="5" width="14.8515625" style="24" customWidth="1"/>
    <col min="6" max="6" width="9.140625" style="24" customWidth="1"/>
    <col min="7" max="7" width="12.00390625" style="24" customWidth="1"/>
    <col min="8" max="8" width="14.140625" style="20" customWidth="1"/>
    <col min="9" max="9" width="22.57421875" style="24" customWidth="1"/>
    <col min="10" max="10" width="25.140625" style="24" customWidth="1"/>
    <col min="11" max="11" width="15.7109375" style="24" customWidth="1"/>
    <col min="12" max="12" width="14.140625" style="24" customWidth="1"/>
    <col min="13" max="13" width="9.57421875" style="24" customWidth="1"/>
    <col min="14" max="14" width="14.140625" style="24" customWidth="1"/>
    <col min="15" max="15" width="23.421875" style="24" customWidth="1"/>
    <col min="16" max="16" width="16.57421875" style="24" customWidth="1"/>
    <col min="17" max="17" width="41.00390625" style="24" customWidth="1"/>
    <col min="18" max="16384" width="9.140625" style="24" customWidth="1"/>
  </cols>
  <sheetData>
    <row r="1" spans="1:10" ht="15.75">
      <c r="A1" s="53" t="s">
        <v>75</v>
      </c>
      <c r="I1" s="54" t="s">
        <v>76</v>
      </c>
      <c r="J1" s="55" t="s">
        <v>77</v>
      </c>
    </row>
    <row r="2" spans="9:10" ht="12.75">
      <c r="I2" s="56" t="s">
        <v>78</v>
      </c>
      <c r="J2" s="57" t="s">
        <v>79</v>
      </c>
    </row>
    <row r="3" spans="1:10" ht="12.75">
      <c r="A3" s="58" t="s">
        <v>80</v>
      </c>
      <c r="I3" s="56" t="s">
        <v>81</v>
      </c>
      <c r="J3" s="57" t="s">
        <v>82</v>
      </c>
    </row>
    <row r="4" spans="9:10" ht="12.75">
      <c r="I4" s="56" t="s">
        <v>83</v>
      </c>
      <c r="J4" s="57" t="s">
        <v>82</v>
      </c>
    </row>
    <row r="5" spans="9:10" ht="13.5" thickBot="1">
      <c r="I5" s="59" t="s">
        <v>84</v>
      </c>
      <c r="J5" s="60" t="s">
        <v>85</v>
      </c>
    </row>
    <row r="10" ht="13.5" thickBot="1"/>
    <row r="11" spans="1:16" ht="12.75" customHeight="1" thickBot="1">
      <c r="A11" s="20" t="str">
        <f aca="true" t="shared" si="0" ref="A11:A36">P11</f>
        <v>BAVM 152 </v>
      </c>
      <c r="B11" s="6" t="str">
        <f aca="true" t="shared" si="1" ref="B11:B36">IF(H11=INT(H11),"I","II")</f>
        <v>I</v>
      </c>
      <c r="C11" s="20">
        <f aca="true" t="shared" si="2" ref="C11:C36">1*G11</f>
        <v>52225.3976</v>
      </c>
      <c r="D11" s="24" t="str">
        <f aca="true" t="shared" si="3" ref="D11:D36">VLOOKUP(F11,I$1:J$5,2,FALSE)</f>
        <v>vis</v>
      </c>
      <c r="E11" s="61">
        <f>VLOOKUP(C11,Active!C$21:E$973,3,FALSE)</f>
        <v>12044.37365157408</v>
      </c>
      <c r="F11" s="6" t="s">
        <v>84</v>
      </c>
      <c r="G11" s="24" t="str">
        <f aca="true" t="shared" si="4" ref="G11:G36">MID(I11,3,LEN(I11)-3)</f>
        <v>52225.3976</v>
      </c>
      <c r="H11" s="20">
        <f aca="true" t="shared" si="5" ref="H11:H36">1*K11</f>
        <v>24089</v>
      </c>
      <c r="I11" s="62" t="s">
        <v>107</v>
      </c>
      <c r="J11" s="63" t="s">
        <v>108</v>
      </c>
      <c r="K11" s="62">
        <v>24089</v>
      </c>
      <c r="L11" s="62" t="s">
        <v>109</v>
      </c>
      <c r="M11" s="63" t="s">
        <v>110</v>
      </c>
      <c r="N11" s="63" t="s">
        <v>111</v>
      </c>
      <c r="O11" s="64" t="s">
        <v>112</v>
      </c>
      <c r="P11" s="65" t="s">
        <v>113</v>
      </c>
    </row>
    <row r="12" spans="1:16" ht="12.75" customHeight="1" thickBot="1">
      <c r="A12" s="20" t="str">
        <f t="shared" si="0"/>
        <v>BAVM 158 </v>
      </c>
      <c r="B12" s="6" t="str">
        <f t="shared" si="1"/>
        <v>I</v>
      </c>
      <c r="C12" s="20">
        <f t="shared" si="2"/>
        <v>52503.4722</v>
      </c>
      <c r="D12" s="24" t="str">
        <f t="shared" si="3"/>
        <v>vis</v>
      </c>
      <c r="E12" s="61">
        <f>VLOOKUP(C12,Active!C$21:E$973,3,FALSE)</f>
        <v>12223.374963469067</v>
      </c>
      <c r="F12" s="6" t="s">
        <v>84</v>
      </c>
      <c r="G12" s="24" t="str">
        <f t="shared" si="4"/>
        <v>52503.4722</v>
      </c>
      <c r="H12" s="20">
        <f t="shared" si="5"/>
        <v>24447</v>
      </c>
      <c r="I12" s="62" t="s">
        <v>114</v>
      </c>
      <c r="J12" s="63" t="s">
        <v>115</v>
      </c>
      <c r="K12" s="62">
        <v>24447</v>
      </c>
      <c r="L12" s="62" t="s">
        <v>116</v>
      </c>
      <c r="M12" s="63" t="s">
        <v>110</v>
      </c>
      <c r="N12" s="63" t="s">
        <v>117</v>
      </c>
      <c r="O12" s="64" t="s">
        <v>112</v>
      </c>
      <c r="P12" s="65" t="s">
        <v>118</v>
      </c>
    </row>
    <row r="13" spans="1:16" ht="12.75" customHeight="1" thickBot="1">
      <c r="A13" s="20" t="str">
        <f t="shared" si="0"/>
        <v>IBVS 5493 </v>
      </c>
      <c r="B13" s="6" t="str">
        <f t="shared" si="1"/>
        <v>I</v>
      </c>
      <c r="C13" s="20">
        <f t="shared" si="2"/>
        <v>52769.8966</v>
      </c>
      <c r="D13" s="24" t="str">
        <f t="shared" si="3"/>
        <v>vis</v>
      </c>
      <c r="E13" s="61">
        <f>VLOOKUP(C13,Active!C$21:E$973,3,FALSE)</f>
        <v>12394.876845053488</v>
      </c>
      <c r="F13" s="6" t="s">
        <v>84</v>
      </c>
      <c r="G13" s="24" t="str">
        <f t="shared" si="4"/>
        <v>52769.8966</v>
      </c>
      <c r="H13" s="20">
        <f t="shared" si="5"/>
        <v>24790</v>
      </c>
      <c r="I13" s="62" t="s">
        <v>119</v>
      </c>
      <c r="J13" s="63" t="s">
        <v>120</v>
      </c>
      <c r="K13" s="62" t="s">
        <v>121</v>
      </c>
      <c r="L13" s="62" t="s">
        <v>122</v>
      </c>
      <c r="M13" s="63" t="s">
        <v>110</v>
      </c>
      <c r="N13" s="63" t="s">
        <v>123</v>
      </c>
      <c r="O13" s="64" t="s">
        <v>124</v>
      </c>
      <c r="P13" s="65" t="s">
        <v>125</v>
      </c>
    </row>
    <row r="14" spans="1:16" ht="12.75" customHeight="1" thickBot="1">
      <c r="A14" s="20" t="str">
        <f t="shared" si="0"/>
        <v>BAVM 172 </v>
      </c>
      <c r="B14" s="6" t="str">
        <f t="shared" si="1"/>
        <v>I</v>
      </c>
      <c r="C14" s="20">
        <f t="shared" si="2"/>
        <v>52886.4099</v>
      </c>
      <c r="D14" s="24" t="str">
        <f t="shared" si="3"/>
        <v>vis</v>
      </c>
      <c r="E14" s="61">
        <f>VLOOKUP(C14,Active!C$21:E$973,3,FALSE)</f>
        <v>12469.878422159825</v>
      </c>
      <c r="F14" s="6" t="s">
        <v>84</v>
      </c>
      <c r="G14" s="24" t="str">
        <f t="shared" si="4"/>
        <v>52886.4099</v>
      </c>
      <c r="H14" s="20">
        <f t="shared" si="5"/>
        <v>24940</v>
      </c>
      <c r="I14" s="62" t="s">
        <v>126</v>
      </c>
      <c r="J14" s="63" t="s">
        <v>127</v>
      </c>
      <c r="K14" s="62" t="s">
        <v>128</v>
      </c>
      <c r="L14" s="62" t="s">
        <v>129</v>
      </c>
      <c r="M14" s="63" t="s">
        <v>110</v>
      </c>
      <c r="N14" s="63" t="s">
        <v>117</v>
      </c>
      <c r="O14" s="64" t="s">
        <v>112</v>
      </c>
      <c r="P14" s="65" t="s">
        <v>130</v>
      </c>
    </row>
    <row r="15" spans="1:16" ht="12.75" customHeight="1" thickBot="1">
      <c r="A15" s="20" t="str">
        <f t="shared" si="0"/>
        <v>BAVM 173 </v>
      </c>
      <c r="B15" s="6" t="str">
        <f t="shared" si="1"/>
        <v>I</v>
      </c>
      <c r="C15" s="20">
        <f t="shared" si="2"/>
        <v>53255.3647</v>
      </c>
      <c r="D15" s="24" t="str">
        <f t="shared" si="3"/>
        <v>vis</v>
      </c>
      <c r="E15" s="61">
        <f>VLOOKUP(C15,Active!C$21:E$973,3,FALSE)</f>
        <v>12707.38085219102</v>
      </c>
      <c r="F15" s="6" t="s">
        <v>84</v>
      </c>
      <c r="G15" s="24" t="str">
        <f t="shared" si="4"/>
        <v>53255.3647</v>
      </c>
      <c r="H15" s="20">
        <f t="shared" si="5"/>
        <v>25415</v>
      </c>
      <c r="I15" s="62" t="s">
        <v>131</v>
      </c>
      <c r="J15" s="63" t="s">
        <v>132</v>
      </c>
      <c r="K15" s="62" t="s">
        <v>133</v>
      </c>
      <c r="L15" s="62" t="s">
        <v>134</v>
      </c>
      <c r="M15" s="63" t="s">
        <v>110</v>
      </c>
      <c r="N15" s="63" t="s">
        <v>117</v>
      </c>
      <c r="O15" s="64" t="s">
        <v>112</v>
      </c>
      <c r="P15" s="65" t="s">
        <v>135</v>
      </c>
    </row>
    <row r="16" spans="1:16" ht="12.75" customHeight="1" thickBot="1">
      <c r="A16" s="20" t="str">
        <f t="shared" si="0"/>
        <v>BAVM 173 </v>
      </c>
      <c r="B16" s="6" t="str">
        <f t="shared" si="1"/>
        <v>I</v>
      </c>
      <c r="C16" s="20">
        <f t="shared" si="2"/>
        <v>53282.5473</v>
      </c>
      <c r="D16" s="24" t="str">
        <f t="shared" si="3"/>
        <v>vis</v>
      </c>
      <c r="E16" s="61">
        <f>VLOOKUP(C16,Active!C$21:E$973,3,FALSE)</f>
        <v>12724.87875045543</v>
      </c>
      <c r="F16" s="6" t="s">
        <v>84</v>
      </c>
      <c r="G16" s="24" t="str">
        <f t="shared" si="4"/>
        <v>53282.5473</v>
      </c>
      <c r="H16" s="20">
        <f t="shared" si="5"/>
        <v>25450</v>
      </c>
      <c r="I16" s="62" t="s">
        <v>136</v>
      </c>
      <c r="J16" s="63" t="s">
        <v>137</v>
      </c>
      <c r="K16" s="62" t="s">
        <v>138</v>
      </c>
      <c r="L16" s="62" t="s">
        <v>139</v>
      </c>
      <c r="M16" s="63" t="s">
        <v>110</v>
      </c>
      <c r="N16" s="63" t="s">
        <v>117</v>
      </c>
      <c r="O16" s="64" t="s">
        <v>112</v>
      </c>
      <c r="P16" s="65" t="s">
        <v>135</v>
      </c>
    </row>
    <row r="17" spans="1:16" ht="12.75" customHeight="1" thickBot="1">
      <c r="A17" s="20" t="str">
        <f t="shared" si="0"/>
        <v>BAVM 183 </v>
      </c>
      <c r="B17" s="6" t="str">
        <f t="shared" si="1"/>
        <v>I</v>
      </c>
      <c r="C17" s="20">
        <f t="shared" si="2"/>
        <v>53919.485</v>
      </c>
      <c r="D17" s="24" t="str">
        <f t="shared" si="3"/>
        <v>vis</v>
      </c>
      <c r="E17" s="61">
        <f>VLOOKUP(C17,Active!C$21:E$973,3,FALSE)</f>
        <v>13134.886294817179</v>
      </c>
      <c r="F17" s="6" t="s">
        <v>84</v>
      </c>
      <c r="G17" s="24" t="str">
        <f t="shared" si="4"/>
        <v>53919.4850</v>
      </c>
      <c r="H17" s="20">
        <f t="shared" si="5"/>
        <v>26270</v>
      </c>
      <c r="I17" s="62" t="s">
        <v>140</v>
      </c>
      <c r="J17" s="63" t="s">
        <v>141</v>
      </c>
      <c r="K17" s="62" t="s">
        <v>142</v>
      </c>
      <c r="L17" s="62" t="s">
        <v>143</v>
      </c>
      <c r="M17" s="63" t="s">
        <v>144</v>
      </c>
      <c r="N17" s="63" t="s">
        <v>111</v>
      </c>
      <c r="O17" s="64" t="s">
        <v>145</v>
      </c>
      <c r="P17" s="65" t="s">
        <v>146</v>
      </c>
    </row>
    <row r="18" spans="1:16" ht="12.75" customHeight="1" thickBot="1">
      <c r="A18" s="20" t="str">
        <f t="shared" si="0"/>
        <v> BBS 133 (=IBVS 5781) </v>
      </c>
      <c r="B18" s="6" t="str">
        <f t="shared" si="1"/>
        <v>I</v>
      </c>
      <c r="C18" s="20">
        <f t="shared" si="2"/>
        <v>53919.4873</v>
      </c>
      <c r="D18" s="24" t="str">
        <f t="shared" si="3"/>
        <v>vis</v>
      </c>
      <c r="E18" s="61">
        <f>VLOOKUP(C18,Active!C$21:E$973,3,FALSE)</f>
        <v>13134.887775365987</v>
      </c>
      <c r="F18" s="6" t="s">
        <v>84</v>
      </c>
      <c r="G18" s="24" t="str">
        <f t="shared" si="4"/>
        <v>53919.4873</v>
      </c>
      <c r="H18" s="20">
        <f t="shared" si="5"/>
        <v>26270</v>
      </c>
      <c r="I18" s="62" t="s">
        <v>147</v>
      </c>
      <c r="J18" s="63" t="s">
        <v>148</v>
      </c>
      <c r="K18" s="62" t="s">
        <v>142</v>
      </c>
      <c r="L18" s="62" t="s">
        <v>149</v>
      </c>
      <c r="M18" s="63" t="s">
        <v>144</v>
      </c>
      <c r="N18" s="63" t="s">
        <v>84</v>
      </c>
      <c r="O18" s="64" t="s">
        <v>150</v>
      </c>
      <c r="P18" s="64" t="s">
        <v>151</v>
      </c>
    </row>
    <row r="19" spans="1:16" ht="12.75" customHeight="1" thickBot="1">
      <c r="A19" s="20" t="str">
        <f t="shared" si="0"/>
        <v>BAVM 186 </v>
      </c>
      <c r="B19" s="6" t="str">
        <f t="shared" si="1"/>
        <v>I</v>
      </c>
      <c r="C19" s="20">
        <f t="shared" si="2"/>
        <v>53940.4569</v>
      </c>
      <c r="D19" s="24" t="str">
        <f t="shared" si="3"/>
        <v>vis</v>
      </c>
      <c r="E19" s="61">
        <f>VLOOKUP(C19,Active!C$21:E$973,3,FALSE)</f>
        <v>13148.386260700183</v>
      </c>
      <c r="F19" s="6" t="s">
        <v>84</v>
      </c>
      <c r="G19" s="24" t="str">
        <f t="shared" si="4"/>
        <v>53940.4569</v>
      </c>
      <c r="H19" s="20">
        <f t="shared" si="5"/>
        <v>26297</v>
      </c>
      <c r="I19" s="62" t="s">
        <v>152</v>
      </c>
      <c r="J19" s="63" t="s">
        <v>153</v>
      </c>
      <c r="K19" s="62" t="s">
        <v>154</v>
      </c>
      <c r="L19" s="62" t="s">
        <v>155</v>
      </c>
      <c r="M19" s="63" t="s">
        <v>144</v>
      </c>
      <c r="N19" s="63" t="s">
        <v>117</v>
      </c>
      <c r="O19" s="64" t="s">
        <v>156</v>
      </c>
      <c r="P19" s="65" t="s">
        <v>157</v>
      </c>
    </row>
    <row r="20" spans="1:16" ht="12.75" customHeight="1" thickBot="1">
      <c r="A20" s="20" t="str">
        <f t="shared" si="0"/>
        <v>BAVM 183 </v>
      </c>
      <c r="B20" s="6" t="str">
        <f t="shared" si="1"/>
        <v>I</v>
      </c>
      <c r="C20" s="20">
        <f t="shared" si="2"/>
        <v>54031.3366</v>
      </c>
      <c r="D20" s="24" t="str">
        <f t="shared" si="3"/>
        <v>vis</v>
      </c>
      <c r="E20" s="61">
        <f>VLOOKUP(C20,Active!C$21:E$973,3,FALSE)</f>
        <v>13206.887056977957</v>
      </c>
      <c r="F20" s="6" t="s">
        <v>84</v>
      </c>
      <c r="G20" s="24" t="str">
        <f t="shared" si="4"/>
        <v>54031.3366</v>
      </c>
      <c r="H20" s="20">
        <f t="shared" si="5"/>
        <v>26414</v>
      </c>
      <c r="I20" s="62" t="s">
        <v>158</v>
      </c>
      <c r="J20" s="63" t="s">
        <v>159</v>
      </c>
      <c r="K20" s="62" t="s">
        <v>160</v>
      </c>
      <c r="L20" s="62" t="s">
        <v>161</v>
      </c>
      <c r="M20" s="63" t="s">
        <v>144</v>
      </c>
      <c r="N20" s="63" t="s">
        <v>117</v>
      </c>
      <c r="O20" s="64" t="s">
        <v>112</v>
      </c>
      <c r="P20" s="65" t="s">
        <v>146</v>
      </c>
    </row>
    <row r="21" spans="1:16" ht="12.75" customHeight="1" thickBot="1">
      <c r="A21" s="20" t="str">
        <f t="shared" si="0"/>
        <v>BAVM 215 </v>
      </c>
      <c r="B21" s="6" t="str">
        <f t="shared" si="1"/>
        <v>I</v>
      </c>
      <c r="C21" s="20">
        <f t="shared" si="2"/>
        <v>55460.552</v>
      </c>
      <c r="D21" s="24" t="str">
        <f t="shared" si="3"/>
        <v>vis</v>
      </c>
      <c r="E21" s="61">
        <f>VLOOKUP(C21,Active!C$21:E$973,3,FALSE)</f>
        <v>14126.897124709847</v>
      </c>
      <c r="F21" s="6" t="s">
        <v>84</v>
      </c>
      <c r="G21" s="24" t="str">
        <f t="shared" si="4"/>
        <v>55460.5520</v>
      </c>
      <c r="H21" s="20">
        <f t="shared" si="5"/>
        <v>28254</v>
      </c>
      <c r="I21" s="62" t="s">
        <v>181</v>
      </c>
      <c r="J21" s="63" t="s">
        <v>182</v>
      </c>
      <c r="K21" s="62" t="s">
        <v>183</v>
      </c>
      <c r="L21" s="62" t="s">
        <v>184</v>
      </c>
      <c r="M21" s="63" t="s">
        <v>144</v>
      </c>
      <c r="N21" s="63" t="s">
        <v>117</v>
      </c>
      <c r="O21" s="64" t="s">
        <v>112</v>
      </c>
      <c r="P21" s="65" t="s">
        <v>185</v>
      </c>
    </row>
    <row r="22" spans="1:16" ht="12.75" customHeight="1" thickBot="1">
      <c r="A22" s="20" t="str">
        <f t="shared" si="0"/>
        <v>BAVM 231 </v>
      </c>
      <c r="B22" s="6" t="str">
        <f t="shared" si="1"/>
        <v>I</v>
      </c>
      <c r="C22" s="20">
        <f t="shared" si="2"/>
        <v>56167.3911</v>
      </c>
      <c r="D22" s="24" t="str">
        <f t="shared" si="3"/>
        <v>vis</v>
      </c>
      <c r="E22" s="61">
        <f>VLOOKUP(C22,Active!C$21:E$973,3,FALSE)</f>
        <v>14581.901379678375</v>
      </c>
      <c r="F22" s="6" t="s">
        <v>84</v>
      </c>
      <c r="G22" s="24" t="str">
        <f t="shared" si="4"/>
        <v>56167.3911</v>
      </c>
      <c r="H22" s="20">
        <f t="shared" si="5"/>
        <v>29164</v>
      </c>
      <c r="I22" s="62" t="s">
        <v>195</v>
      </c>
      <c r="J22" s="63" t="s">
        <v>196</v>
      </c>
      <c r="K22" s="62" t="s">
        <v>197</v>
      </c>
      <c r="L22" s="62" t="s">
        <v>198</v>
      </c>
      <c r="M22" s="63" t="s">
        <v>144</v>
      </c>
      <c r="N22" s="63" t="s">
        <v>117</v>
      </c>
      <c r="O22" s="64" t="s">
        <v>112</v>
      </c>
      <c r="P22" s="65" t="s">
        <v>199</v>
      </c>
    </row>
    <row r="23" spans="1:16" ht="12.75" customHeight="1" thickBot="1">
      <c r="A23" s="20" t="str">
        <f t="shared" si="0"/>
        <v>BAVM 231 </v>
      </c>
      <c r="B23" s="6" t="str">
        <f t="shared" si="1"/>
        <v>I</v>
      </c>
      <c r="C23" s="20">
        <f t="shared" si="2"/>
        <v>56188.363</v>
      </c>
      <c r="D23" s="24" t="str">
        <f t="shared" si="3"/>
        <v>vis</v>
      </c>
      <c r="E23" s="61">
        <f>VLOOKUP(C23,Active!C$21:E$973,3,FALSE)</f>
        <v>14595.401345561379</v>
      </c>
      <c r="F23" s="6" t="s">
        <v>84</v>
      </c>
      <c r="G23" s="24" t="str">
        <f t="shared" si="4"/>
        <v>56188.3630</v>
      </c>
      <c r="H23" s="20">
        <f t="shared" si="5"/>
        <v>29191</v>
      </c>
      <c r="I23" s="62" t="s">
        <v>200</v>
      </c>
      <c r="J23" s="63" t="s">
        <v>201</v>
      </c>
      <c r="K23" s="62" t="s">
        <v>202</v>
      </c>
      <c r="L23" s="62" t="s">
        <v>198</v>
      </c>
      <c r="M23" s="63" t="s">
        <v>144</v>
      </c>
      <c r="N23" s="63" t="s">
        <v>117</v>
      </c>
      <c r="O23" s="64" t="s">
        <v>112</v>
      </c>
      <c r="P23" s="65" t="s">
        <v>199</v>
      </c>
    </row>
    <row r="24" spans="1:16" ht="12.75" customHeight="1" thickBot="1">
      <c r="A24" s="20" t="str">
        <f t="shared" si="0"/>
        <v>BAVM 234 </v>
      </c>
      <c r="B24" s="6" t="str">
        <f t="shared" si="1"/>
        <v>I</v>
      </c>
      <c r="C24" s="20">
        <f t="shared" si="2"/>
        <v>56592.2741</v>
      </c>
      <c r="D24" s="24" t="str">
        <f t="shared" si="3"/>
        <v>vis</v>
      </c>
      <c r="E24" s="61">
        <f>VLOOKUP(C24,Active!C$21:E$973,3,FALSE)</f>
        <v>14855.405735710454</v>
      </c>
      <c r="F24" s="6" t="s">
        <v>84</v>
      </c>
      <c r="G24" s="24" t="str">
        <f t="shared" si="4"/>
        <v>56592.2741</v>
      </c>
      <c r="H24" s="20">
        <f t="shared" si="5"/>
        <v>29711</v>
      </c>
      <c r="I24" s="62" t="s">
        <v>203</v>
      </c>
      <c r="J24" s="63" t="s">
        <v>204</v>
      </c>
      <c r="K24" s="62" t="s">
        <v>205</v>
      </c>
      <c r="L24" s="62" t="s">
        <v>206</v>
      </c>
      <c r="M24" s="63" t="s">
        <v>144</v>
      </c>
      <c r="N24" s="63" t="s">
        <v>117</v>
      </c>
      <c r="O24" s="64" t="s">
        <v>112</v>
      </c>
      <c r="P24" s="65" t="s">
        <v>207</v>
      </c>
    </row>
    <row r="25" spans="1:16" ht="12.75" customHeight="1" thickBot="1">
      <c r="A25" s="20" t="str">
        <f t="shared" si="0"/>
        <v>BAVM 239 </v>
      </c>
      <c r="B25" s="6" t="str">
        <f t="shared" si="1"/>
        <v>I</v>
      </c>
      <c r="C25" s="20">
        <f t="shared" si="2"/>
        <v>56928.6055</v>
      </c>
      <c r="D25" s="24" t="str">
        <f t="shared" si="3"/>
        <v>vis</v>
      </c>
      <c r="E25" s="61">
        <f>VLOOKUP(C25,Active!C$21:E$973,3,FALSE)</f>
        <v>15071.907932716138</v>
      </c>
      <c r="F25" s="6" t="s">
        <v>84</v>
      </c>
      <c r="G25" s="24" t="str">
        <f t="shared" si="4"/>
        <v>56928.6055</v>
      </c>
      <c r="H25" s="20">
        <f t="shared" si="5"/>
        <v>30144</v>
      </c>
      <c r="I25" s="62" t="s">
        <v>208</v>
      </c>
      <c r="J25" s="63" t="s">
        <v>209</v>
      </c>
      <c r="K25" s="62" t="s">
        <v>210</v>
      </c>
      <c r="L25" s="62" t="s">
        <v>211</v>
      </c>
      <c r="M25" s="63" t="s">
        <v>144</v>
      </c>
      <c r="N25" s="63" t="s">
        <v>117</v>
      </c>
      <c r="O25" s="64" t="s">
        <v>112</v>
      </c>
      <c r="P25" s="65" t="s">
        <v>212</v>
      </c>
    </row>
    <row r="26" spans="1:16" ht="12.75" customHeight="1" thickBot="1">
      <c r="A26" s="20" t="str">
        <f t="shared" si="0"/>
        <v> RIA 8.229 </v>
      </c>
      <c r="B26" s="6" t="str">
        <f t="shared" si="1"/>
        <v>I</v>
      </c>
      <c r="C26" s="20">
        <f t="shared" si="2"/>
        <v>33127.525</v>
      </c>
      <c r="D26" s="24" t="str">
        <f t="shared" si="3"/>
        <v>vis</v>
      </c>
      <c r="E26" s="61">
        <f>VLOOKUP(C26,Active!C$21:E$973,3,FALSE)</f>
        <v>-249.24917411125105</v>
      </c>
      <c r="F26" s="6" t="s">
        <v>84</v>
      </c>
      <c r="G26" s="24" t="str">
        <f t="shared" si="4"/>
        <v>33127.525</v>
      </c>
      <c r="H26" s="20">
        <f t="shared" si="5"/>
        <v>-497</v>
      </c>
      <c r="I26" s="62" t="s">
        <v>87</v>
      </c>
      <c r="J26" s="63" t="s">
        <v>88</v>
      </c>
      <c r="K26" s="62">
        <v>-497</v>
      </c>
      <c r="L26" s="62" t="s">
        <v>89</v>
      </c>
      <c r="M26" s="63" t="s">
        <v>90</v>
      </c>
      <c r="N26" s="63"/>
      <c r="O26" s="64" t="s">
        <v>91</v>
      </c>
      <c r="P26" s="64" t="s">
        <v>92</v>
      </c>
    </row>
    <row r="27" spans="1:16" ht="12.75" customHeight="1" thickBot="1">
      <c r="A27" s="20" t="str">
        <f t="shared" si="0"/>
        <v> RIA 8.229 </v>
      </c>
      <c r="B27" s="6" t="str">
        <f t="shared" si="1"/>
        <v>I</v>
      </c>
      <c r="C27" s="20">
        <f t="shared" si="2"/>
        <v>33513.557</v>
      </c>
      <c r="D27" s="24" t="str">
        <f t="shared" si="3"/>
        <v>vis</v>
      </c>
      <c r="E27" s="61">
        <f>VLOOKUP(C27,Active!C$21:E$973,3,FALSE)</f>
        <v>-0.7538623012355559</v>
      </c>
      <c r="F27" s="6" t="s">
        <v>84</v>
      </c>
      <c r="G27" s="24" t="str">
        <f t="shared" si="4"/>
        <v>33513.557</v>
      </c>
      <c r="H27" s="20">
        <f t="shared" si="5"/>
        <v>0</v>
      </c>
      <c r="I27" s="62" t="s">
        <v>93</v>
      </c>
      <c r="J27" s="63" t="s">
        <v>94</v>
      </c>
      <c r="K27" s="62">
        <v>0</v>
      </c>
      <c r="L27" s="62" t="s">
        <v>95</v>
      </c>
      <c r="M27" s="63" t="s">
        <v>90</v>
      </c>
      <c r="N27" s="63"/>
      <c r="O27" s="64" t="s">
        <v>91</v>
      </c>
      <c r="P27" s="64" t="s">
        <v>92</v>
      </c>
    </row>
    <row r="28" spans="1:16" ht="12.75" customHeight="1" thickBot="1">
      <c r="A28" s="20" t="str">
        <f t="shared" si="0"/>
        <v> RIA 8.229 </v>
      </c>
      <c r="B28" s="6" t="str">
        <f t="shared" si="1"/>
        <v>I</v>
      </c>
      <c r="C28" s="20">
        <f t="shared" si="2"/>
        <v>33562.49</v>
      </c>
      <c r="D28" s="24" t="str">
        <f t="shared" si="3"/>
        <v>vis</v>
      </c>
      <c r="E28" s="61">
        <f>VLOOKUP(C28,Active!C$21:E$973,3,FALSE)</f>
        <v>30.74513543159186</v>
      </c>
      <c r="F28" s="6" t="s">
        <v>84</v>
      </c>
      <c r="G28" s="24" t="str">
        <f t="shared" si="4"/>
        <v>33562.490</v>
      </c>
      <c r="H28" s="20">
        <f t="shared" si="5"/>
        <v>63</v>
      </c>
      <c r="I28" s="62" t="s">
        <v>96</v>
      </c>
      <c r="J28" s="63" t="s">
        <v>97</v>
      </c>
      <c r="K28" s="62">
        <v>63</v>
      </c>
      <c r="L28" s="62" t="s">
        <v>98</v>
      </c>
      <c r="M28" s="63" t="s">
        <v>90</v>
      </c>
      <c r="N28" s="63"/>
      <c r="O28" s="64" t="s">
        <v>91</v>
      </c>
      <c r="P28" s="64" t="s">
        <v>92</v>
      </c>
    </row>
    <row r="29" spans="1:16" ht="12.75" customHeight="1" thickBot="1">
      <c r="A29" s="20" t="str">
        <f t="shared" si="0"/>
        <v> RIA 8.229 </v>
      </c>
      <c r="B29" s="6" t="str">
        <f t="shared" si="1"/>
        <v>I</v>
      </c>
      <c r="C29" s="20">
        <f t="shared" si="2"/>
        <v>33861.547</v>
      </c>
      <c r="D29" s="24" t="str">
        <f t="shared" si="3"/>
        <v>vis</v>
      </c>
      <c r="E29" s="61">
        <f>VLOOKUP(C29,Active!C$21:E$973,3,FALSE)</f>
        <v>223.25317223674824</v>
      </c>
      <c r="F29" s="6" t="s">
        <v>84</v>
      </c>
      <c r="G29" s="24" t="str">
        <f t="shared" si="4"/>
        <v>33861.547</v>
      </c>
      <c r="H29" s="20">
        <f t="shared" si="5"/>
        <v>448</v>
      </c>
      <c r="I29" s="62" t="s">
        <v>99</v>
      </c>
      <c r="J29" s="63" t="s">
        <v>100</v>
      </c>
      <c r="K29" s="62">
        <v>448</v>
      </c>
      <c r="L29" s="62" t="s">
        <v>101</v>
      </c>
      <c r="M29" s="63" t="s">
        <v>90</v>
      </c>
      <c r="N29" s="63"/>
      <c r="O29" s="64" t="s">
        <v>91</v>
      </c>
      <c r="P29" s="64" t="s">
        <v>92</v>
      </c>
    </row>
    <row r="30" spans="1:16" ht="12.75" customHeight="1" thickBot="1">
      <c r="A30" s="20" t="str">
        <f t="shared" si="0"/>
        <v>BAVM 79 </v>
      </c>
      <c r="B30" s="6" t="str">
        <f t="shared" si="1"/>
        <v>I</v>
      </c>
      <c r="C30" s="20">
        <f t="shared" si="2"/>
        <v>48442.481</v>
      </c>
      <c r="D30" s="24" t="str">
        <f t="shared" si="3"/>
        <v>vis</v>
      </c>
      <c r="E30" s="61">
        <f>VLOOKUP(C30,Active!C$21:E$973,3,FALSE)</f>
        <v>9609.246408059851</v>
      </c>
      <c r="F30" s="6" t="s">
        <v>84</v>
      </c>
      <c r="G30" s="24" t="str">
        <f t="shared" si="4"/>
        <v>48442.481</v>
      </c>
      <c r="H30" s="20">
        <f t="shared" si="5"/>
        <v>19219</v>
      </c>
      <c r="I30" s="62" t="s">
        <v>102</v>
      </c>
      <c r="J30" s="63" t="s">
        <v>103</v>
      </c>
      <c r="K30" s="62">
        <v>19219</v>
      </c>
      <c r="L30" s="62" t="s">
        <v>104</v>
      </c>
      <c r="M30" s="63" t="s">
        <v>86</v>
      </c>
      <c r="N30" s="63"/>
      <c r="O30" s="64" t="s">
        <v>105</v>
      </c>
      <c r="P30" s="65" t="s">
        <v>106</v>
      </c>
    </row>
    <row r="31" spans="1:16" ht="12.75" customHeight="1" thickBot="1">
      <c r="A31" s="20" t="str">
        <f t="shared" si="0"/>
        <v>BAVM 193 </v>
      </c>
      <c r="B31" s="6" t="str">
        <f t="shared" si="1"/>
        <v>I</v>
      </c>
      <c r="C31" s="20">
        <f t="shared" si="2"/>
        <v>54312.5167</v>
      </c>
      <c r="D31" s="24" t="str">
        <f t="shared" si="3"/>
        <v>vis</v>
      </c>
      <c r="E31" s="61">
        <f>VLOOKUP(C31,Active!C$21:E$973,3,FALSE)</f>
        <v>13387.887431621177</v>
      </c>
      <c r="F31" s="6" t="s">
        <v>84</v>
      </c>
      <c r="G31" s="24" t="str">
        <f t="shared" si="4"/>
        <v>54312.5167</v>
      </c>
      <c r="H31" s="20">
        <f t="shared" si="5"/>
        <v>26776</v>
      </c>
      <c r="I31" s="62" t="s">
        <v>162</v>
      </c>
      <c r="J31" s="63" t="s">
        <v>163</v>
      </c>
      <c r="K31" s="62" t="s">
        <v>164</v>
      </c>
      <c r="L31" s="62" t="s">
        <v>165</v>
      </c>
      <c r="M31" s="63" t="s">
        <v>144</v>
      </c>
      <c r="N31" s="63" t="s">
        <v>117</v>
      </c>
      <c r="O31" s="64" t="s">
        <v>112</v>
      </c>
      <c r="P31" s="65" t="s">
        <v>166</v>
      </c>
    </row>
    <row r="32" spans="1:16" ht="12.75" customHeight="1" thickBot="1">
      <c r="A32" s="20" t="str">
        <f t="shared" si="0"/>
        <v>BAVM 193 </v>
      </c>
      <c r="B32" s="6" t="str">
        <f t="shared" si="1"/>
        <v>I</v>
      </c>
      <c r="C32" s="20">
        <f t="shared" si="2"/>
        <v>54337.3742</v>
      </c>
      <c r="D32" s="24" t="str">
        <f t="shared" si="3"/>
        <v>vis</v>
      </c>
      <c r="E32" s="61">
        <f>VLOOKUP(C32,Active!C$21:E$973,3,FALSE)</f>
        <v>13403.888623784824</v>
      </c>
      <c r="F32" s="6" t="s">
        <v>84</v>
      </c>
      <c r="G32" s="24" t="str">
        <f t="shared" si="4"/>
        <v>54337.3742</v>
      </c>
      <c r="H32" s="20">
        <f t="shared" si="5"/>
        <v>26808</v>
      </c>
      <c r="I32" s="62" t="s">
        <v>167</v>
      </c>
      <c r="J32" s="63" t="s">
        <v>168</v>
      </c>
      <c r="K32" s="62" t="s">
        <v>169</v>
      </c>
      <c r="L32" s="62" t="s">
        <v>170</v>
      </c>
      <c r="M32" s="63" t="s">
        <v>144</v>
      </c>
      <c r="N32" s="63" t="s">
        <v>117</v>
      </c>
      <c r="O32" s="64" t="s">
        <v>112</v>
      </c>
      <c r="P32" s="65" t="s">
        <v>166</v>
      </c>
    </row>
    <row r="33" spans="1:16" ht="12.75" customHeight="1" thickBot="1">
      <c r="A33" s="20" t="str">
        <f t="shared" si="0"/>
        <v>BAVM 203 </v>
      </c>
      <c r="B33" s="6" t="str">
        <f t="shared" si="1"/>
        <v>I</v>
      </c>
      <c r="C33" s="20">
        <f t="shared" si="2"/>
        <v>54737.3998</v>
      </c>
      <c r="D33" s="24" t="str">
        <f t="shared" si="3"/>
        <v>vis</v>
      </c>
      <c r="E33" s="61">
        <f>VLOOKUP(C33,Active!C$21:E$973,3,FALSE)</f>
        <v>13661.39185202494</v>
      </c>
      <c r="F33" s="6" t="s">
        <v>84</v>
      </c>
      <c r="G33" s="24" t="str">
        <f t="shared" si="4"/>
        <v>54737.3998</v>
      </c>
      <c r="H33" s="20">
        <f t="shared" si="5"/>
        <v>27323</v>
      </c>
      <c r="I33" s="62" t="s">
        <v>171</v>
      </c>
      <c r="J33" s="63" t="s">
        <v>172</v>
      </c>
      <c r="K33" s="62" t="s">
        <v>173</v>
      </c>
      <c r="L33" s="62" t="s">
        <v>174</v>
      </c>
      <c r="M33" s="63" t="s">
        <v>144</v>
      </c>
      <c r="N33" s="63" t="s">
        <v>117</v>
      </c>
      <c r="O33" s="64" t="s">
        <v>112</v>
      </c>
      <c r="P33" s="65" t="s">
        <v>175</v>
      </c>
    </row>
    <row r="34" spans="1:16" ht="12.75" customHeight="1" thickBot="1">
      <c r="A34" s="20" t="str">
        <f t="shared" si="0"/>
        <v>BAVM 212 </v>
      </c>
      <c r="B34" s="6" t="str">
        <f t="shared" si="1"/>
        <v>I</v>
      </c>
      <c r="C34" s="20">
        <f t="shared" si="2"/>
        <v>55064.4099</v>
      </c>
      <c r="D34" s="24" t="str">
        <f t="shared" si="3"/>
        <v>vis</v>
      </c>
      <c r="E34" s="61">
        <f>VLOOKUP(C34,Active!C$21:E$973,3,FALSE)</f>
        <v>13871.893770944938</v>
      </c>
      <c r="F34" s="6" t="s">
        <v>84</v>
      </c>
      <c r="G34" s="24" t="str">
        <f t="shared" si="4"/>
        <v>55064.4099</v>
      </c>
      <c r="H34" s="20">
        <f t="shared" si="5"/>
        <v>27744</v>
      </c>
      <c r="I34" s="62" t="s">
        <v>176</v>
      </c>
      <c r="J34" s="63" t="s">
        <v>177</v>
      </c>
      <c r="K34" s="62" t="s">
        <v>178</v>
      </c>
      <c r="L34" s="62" t="s">
        <v>179</v>
      </c>
      <c r="M34" s="63" t="s">
        <v>144</v>
      </c>
      <c r="N34" s="63" t="s">
        <v>117</v>
      </c>
      <c r="O34" s="64" t="s">
        <v>112</v>
      </c>
      <c r="P34" s="65" t="s">
        <v>180</v>
      </c>
    </row>
    <row r="35" spans="1:16" ht="12.75" customHeight="1" thickBot="1">
      <c r="A35" s="20" t="str">
        <f t="shared" si="0"/>
        <v>BAVM 225 </v>
      </c>
      <c r="B35" s="6" t="str">
        <f t="shared" si="1"/>
        <v>I</v>
      </c>
      <c r="C35" s="20">
        <f t="shared" si="2"/>
        <v>55805.4293</v>
      </c>
      <c r="D35" s="24" t="str">
        <f t="shared" si="3"/>
        <v>vis</v>
      </c>
      <c r="E35" s="61">
        <f>VLOOKUP(C35,Active!C$21:E$973,3,FALSE)</f>
        <v>14348.900461738116</v>
      </c>
      <c r="F35" s="6" t="s">
        <v>84</v>
      </c>
      <c r="G35" s="24" t="str">
        <f t="shared" si="4"/>
        <v>55805.4293</v>
      </c>
      <c r="H35" s="20">
        <f t="shared" si="5"/>
        <v>28698</v>
      </c>
      <c r="I35" s="62" t="s">
        <v>186</v>
      </c>
      <c r="J35" s="63" t="s">
        <v>187</v>
      </c>
      <c r="K35" s="62" t="s">
        <v>188</v>
      </c>
      <c r="L35" s="62" t="s">
        <v>189</v>
      </c>
      <c r="M35" s="63" t="s">
        <v>144</v>
      </c>
      <c r="N35" s="63" t="s">
        <v>117</v>
      </c>
      <c r="O35" s="64" t="s">
        <v>112</v>
      </c>
      <c r="P35" s="65" t="s">
        <v>190</v>
      </c>
    </row>
    <row r="36" spans="1:16" ht="12.75" customHeight="1" thickBot="1">
      <c r="A36" s="20" t="str">
        <f t="shared" si="0"/>
        <v>BAVM 225 </v>
      </c>
      <c r="B36" s="6" t="str">
        <f t="shared" si="1"/>
        <v>I</v>
      </c>
      <c r="C36" s="20">
        <f t="shared" si="2"/>
        <v>55839.6062</v>
      </c>
      <c r="D36" s="24" t="str">
        <f t="shared" si="3"/>
        <v>vis</v>
      </c>
      <c r="E36" s="61">
        <f>VLOOKUP(C36,Active!C$21:E$973,3,FALSE)</f>
        <v>14370.900708925394</v>
      </c>
      <c r="F36" s="6" t="s">
        <v>84</v>
      </c>
      <c r="G36" s="24" t="str">
        <f t="shared" si="4"/>
        <v>55839.6062</v>
      </c>
      <c r="H36" s="20">
        <f t="shared" si="5"/>
        <v>28742</v>
      </c>
      <c r="I36" s="62" t="s">
        <v>191</v>
      </c>
      <c r="J36" s="63" t="s">
        <v>192</v>
      </c>
      <c r="K36" s="62" t="s">
        <v>193</v>
      </c>
      <c r="L36" s="62" t="s">
        <v>194</v>
      </c>
      <c r="M36" s="63" t="s">
        <v>144</v>
      </c>
      <c r="N36" s="63" t="s">
        <v>117</v>
      </c>
      <c r="O36" s="64" t="s">
        <v>112</v>
      </c>
      <c r="P36" s="65" t="s">
        <v>190</v>
      </c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</sheetData>
  <sheetProtection/>
  <hyperlinks>
    <hyperlink ref="P30" r:id="rId1" display="http://www.bav-astro.de/sfs/BAVM_link.php?BAVMnr=79"/>
    <hyperlink ref="P11" r:id="rId2" display="http://www.bav-astro.de/sfs/BAVM_link.php?BAVMnr=152"/>
    <hyperlink ref="P12" r:id="rId3" display="http://www.bav-astro.de/sfs/BAVM_link.php?BAVMnr=158"/>
    <hyperlink ref="P13" r:id="rId4" display="http://www.konkoly.hu/cgi-bin/IBVS?5493"/>
    <hyperlink ref="P14" r:id="rId5" display="http://www.bav-astro.de/sfs/BAVM_link.php?BAVMnr=172"/>
    <hyperlink ref="P15" r:id="rId6" display="http://www.bav-astro.de/sfs/BAVM_link.php?BAVMnr=173"/>
    <hyperlink ref="P16" r:id="rId7" display="http://www.bav-astro.de/sfs/BAVM_link.php?BAVMnr=173"/>
    <hyperlink ref="P17" r:id="rId8" display="http://www.bav-astro.de/sfs/BAVM_link.php?BAVMnr=183"/>
    <hyperlink ref="P19" r:id="rId9" display="http://www.bav-astro.de/sfs/BAVM_link.php?BAVMnr=186"/>
    <hyperlink ref="P20" r:id="rId10" display="http://www.bav-astro.de/sfs/BAVM_link.php?BAVMnr=183"/>
    <hyperlink ref="P31" r:id="rId11" display="http://www.bav-astro.de/sfs/BAVM_link.php?BAVMnr=193"/>
    <hyperlink ref="P32" r:id="rId12" display="http://www.bav-astro.de/sfs/BAVM_link.php?BAVMnr=193"/>
    <hyperlink ref="P33" r:id="rId13" display="http://www.bav-astro.de/sfs/BAVM_link.php?BAVMnr=203"/>
    <hyperlink ref="P34" r:id="rId14" display="http://www.bav-astro.de/sfs/BAVM_link.php?BAVMnr=212"/>
    <hyperlink ref="P21" r:id="rId15" display="http://www.bav-astro.de/sfs/BAVM_link.php?BAVMnr=215"/>
    <hyperlink ref="P35" r:id="rId16" display="http://www.bav-astro.de/sfs/BAVM_link.php?BAVMnr=225"/>
    <hyperlink ref="P36" r:id="rId17" display="http://www.bav-astro.de/sfs/BAVM_link.php?BAVMnr=225"/>
    <hyperlink ref="P22" r:id="rId18" display="http://www.bav-astro.de/sfs/BAVM_link.php?BAVMnr=231"/>
    <hyperlink ref="P23" r:id="rId19" display="http://www.bav-astro.de/sfs/BAVM_link.php?BAVMnr=231"/>
    <hyperlink ref="P24" r:id="rId20" display="http://www.bav-astro.de/sfs/BAVM_link.php?BAVMnr=234"/>
    <hyperlink ref="P25" r:id="rId21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