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670" windowHeight="1441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<sst xmlns="http://schemas.openxmlformats.org/spreadsheetml/2006/main" count="133" uniqueCount="79">
  <si>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</si>
  <si>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</si>
  <si>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</si>
  <si>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</si>
  <si>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</si>
  <si>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</si>
  <si>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</si>
  <si>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</si>
  <si>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</si>
  <si>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</si>
  <si>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</si>
  <si>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</si>
  <si>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</si>
  <si>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</si>
  <si>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</si>
  <si>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</si>
  <si>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</si>
  <si>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</si>
  <si>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</si>
  <si>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</si>
  <si>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</si>
  <si>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</si>
  <si>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</si>
  <si>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</si>
  <si>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</si>
  <si>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</si>
  <si>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</si>
  <si>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</si>
  <si>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</si>
  <si>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</si>
  <si>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</si>
  <si>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</si>
  <si>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</si>
  <si>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</si>
  <si>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</si>
  <si>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</si>
  <si>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</si>
  <si>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</si>
  <si>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</si>
  <si>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</si>
  <si>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</si>
  <si>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</si>
  <si>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</si>
  <si>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</si>
  <si>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</si>
  <si>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</si>
  <si>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</si>
  <si>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</si>
  <si>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</si>
  <si>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V1721 Cyg</t>
  </si>
  <si>
    <t>EA</t>
  </si>
  <si>
    <t>V1721 Cyg / GSC 43697.488</t>
  </si>
  <si>
    <t>Malkov</t>
  </si>
  <si>
    <t>2442605.497 </t>
  </si>
  <si>
    <t> 11.07.1975 23:55 </t>
  </si>
  <si>
    <t> -0.103 </t>
  </si>
  <si>
    <t>P </t>
  </si>
  <si>
    <t> S.W.Kopeikin </t>
  </si>
  <si>
    <t> PZP 4.223 </t>
  </si>
  <si>
    <t>2442747.185 </t>
  </si>
  <si>
    <t> 30.11.1975 16:26 </t>
  </si>
  <si>
    <t> -0.006 </t>
  </si>
  <si>
    <t>2443038.531 </t>
  </si>
  <si>
    <t> 17.09.1976 00:44 </t>
  </si>
  <si>
    <t> -0.012 </t>
  </si>
  <si>
    <t>2443049.417 </t>
  </si>
  <si>
    <t> 27.09.1976 22:00 </t>
  </si>
  <si>
    <t> -0.018 </t>
  </si>
  <si>
    <t>2443697.488 </t>
  </si>
  <si>
    <t> 07.07.1978 23:42 </t>
  </si>
  <si>
    <t> 0.000 </t>
  </si>
  <si>
    <t>2443757.434 </t>
  </si>
  <si>
    <t> 05.09.1978 22:24 </t>
  </si>
  <si>
    <t> 0.042 </t>
  </si>
  <si>
    <t>2443787.295 </t>
  </si>
  <si>
    <t> 05.10.1978 19:04 </t>
  </si>
  <si>
    <t> -0.049 </t>
  </si>
  <si>
    <t>I</t>
  </si>
  <si>
    <t>VSB 067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</si>
</sst>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11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11" xfId="0" applyFont="1" applyFill="1" applyBorder="1" applyAlignment="1">
      <alignment horizontal="left" vertical="center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4" borderId="18" xfId="0" applyFont="1" applyFill="1" applyBorder="1" applyAlignment="1">
      <alignment horizontal="left" vertical="top" wrapText="1" inden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right" vertical="top" wrapText="1"/>
    </xf>
    <xf numFmtId="0" fontId="13" fillId="35" borderId="11" xfId="0" applyFont="1" applyFill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V1721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45"/>
          <c:w val="0.91"/>
          <c:h val="0.7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209940"/>
        <c:axId val="19889461"/>
      </c:scatterChart>
      <c:valAx>
        <c:axId val="2209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889461"/>
        <c:crosses val="autoZero"/>
        <c:crossBetween val="midCat"/>
        <c:dispUnits/>
      </c:valAx>
      <c:valAx>
        <c:axId val="19889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994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875"/>
          <c:y val="0.93125"/>
          <c:w val="0.724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0</xdr:row>
      <xdr:rowOff>0</xdr:rowOff>
    </xdr:from>
    <xdr:to>
      <xdr:col>17</xdr:col>
      <xdr:colOff>180975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4610100" y="0"/>
        <a:ext cx="633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LkDB/index.php?lang=en&amp;sprache_dial=e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51</v>
      </c>
      <c r="F1" s="50" t="s">
        <v>49</v>
      </c>
      <c r="G1" s="32">
        <v>21.21434</v>
      </c>
      <c r="H1" s="33">
        <v>37.2058</v>
      </c>
      <c r="I1" s="34">
        <v>43697.488</v>
      </c>
      <c r="J1" s="34">
        <v>2.722913</v>
      </c>
      <c r="K1" s="31" t="s">
        <v>50</v>
      </c>
      <c r="L1" s="33"/>
      <c r="M1" s="34">
        <v>43697.488</v>
      </c>
      <c r="N1" s="34">
        <v>2.722913</v>
      </c>
      <c r="O1" s="37" t="s">
        <v>50</v>
      </c>
    </row>
    <row r="2" spans="1:4" ht="12.75">
      <c r="A2" t="s">
        <v>23</v>
      </c>
      <c r="B2" t="s">
        <v>50</v>
      </c>
      <c r="C2" s="30"/>
      <c r="D2" s="3"/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43697.488</v>
      </c>
      <c r="D7" s="29" t="s">
        <v>52</v>
      </c>
    </row>
    <row r="8" spans="1:4" ht="12.75">
      <c r="A8" t="s">
        <v>3</v>
      </c>
      <c r="C8" s="8">
        <v>2.722913</v>
      </c>
      <c r="D8" s="29" t="s">
        <v>52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-0.021118014386546362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2.3664088324015683E-06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58706.17638163109</v>
      </c>
      <c r="E15" s="14" t="s">
        <v>34</v>
      </c>
      <c r="F15" s="35">
        <v>1</v>
      </c>
    </row>
    <row r="16" spans="1:6" ht="12.75">
      <c r="A16" s="16" t="s">
        <v>4</v>
      </c>
      <c r="B16" s="10"/>
      <c r="C16" s="17">
        <f>+C8+C12</f>
        <v>2.7229153664088326</v>
      </c>
      <c r="E16" s="14" t="s">
        <v>30</v>
      </c>
      <c r="F16" s="36">
        <f ca="1">NOW()+15018.5+$C$5/24</f>
        <v>59897.51741435185</v>
      </c>
    </row>
    <row r="17" spans="1:6" ht="13.5" thickBot="1">
      <c r="A17" s="14" t="s">
        <v>27</v>
      </c>
      <c r="B17" s="10"/>
      <c r="C17" s="10">
        <f>COUNT(C21:C2191)</f>
        <v>8</v>
      </c>
      <c r="E17" s="14" t="s">
        <v>35</v>
      </c>
      <c r="F17" s="15">
        <f>ROUND(2*(F16-$C$7)/$C$8,0)/2+F15</f>
        <v>5950.5</v>
      </c>
    </row>
    <row r="18" spans="1:6" ht="14.25" thickBot="1" thickTop="1">
      <c r="A18" s="16" t="s">
        <v>5</v>
      </c>
      <c r="B18" s="10"/>
      <c r="C18" s="19">
        <f>+C15</f>
        <v>58706.17638163109</v>
      </c>
      <c r="D18" s="20">
        <f>+C16</f>
        <v>2.7229153664088326</v>
      </c>
      <c r="E18" s="14" t="s">
        <v>36</v>
      </c>
      <c r="F18" s="23">
        <f>ROUND(2*(F16-$C$15)/$C$16,0)/2+F15</f>
        <v>438.5</v>
      </c>
    </row>
    <row r="19" spans="5:6" ht="13.5" thickTop="1">
      <c r="E19" s="14" t="s">
        <v>31</v>
      </c>
      <c r="F19" s="18">
        <f>+$C$15+$C$16*F18-15018.5-$C$5/24</f>
        <v>44882.0706031347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s="51" t="s">
        <v>58</v>
      </c>
      <c r="B21" s="53" t="s">
        <v>77</v>
      </c>
      <c r="C21" s="52">
        <v>42605.497</v>
      </c>
      <c r="D21" s="52" t="s">
        <v>39</v>
      </c>
      <c r="E21">
        <f aca="true" t="shared" si="0" ref="E21:E27">+(C21-C$7)/C$8</f>
        <v>-401.0377856361898</v>
      </c>
      <c r="F21">
        <f aca="true" t="shared" si="1" ref="F21:F28">ROUND(2*E21,0)/2</f>
        <v>-401</v>
      </c>
      <c r="G21">
        <f aca="true" t="shared" si="2" ref="G21:G27">+C21-(C$7+F21*C$8)</f>
        <v>-0.10288699999364326</v>
      </c>
      <c r="H21">
        <f aca="true" t="shared" si="3" ref="H21:H27">+G21</f>
        <v>-0.10288699999364326</v>
      </c>
      <c r="O21">
        <f aca="true" t="shared" si="4" ref="O21:O27">+C$11+C$12*$F21</f>
        <v>-0.022066944328339392</v>
      </c>
      <c r="Q21" s="2">
        <f aca="true" t="shared" si="5" ref="Q21:Q27">+C21-15018.5</f>
        <v>27586.997000000003</v>
      </c>
    </row>
    <row r="22" spans="1:17" ht="12.75">
      <c r="A22" s="51" t="s">
        <v>58</v>
      </c>
      <c r="B22" s="53" t="s">
        <v>77</v>
      </c>
      <c r="C22" s="52">
        <v>42747.185</v>
      </c>
      <c r="D22" s="52" t="s">
        <v>39</v>
      </c>
      <c r="E22">
        <f t="shared" si="0"/>
        <v>-349.0023368355874</v>
      </c>
      <c r="F22">
        <f t="shared" si="1"/>
        <v>-349</v>
      </c>
      <c r="G22">
        <f t="shared" si="2"/>
        <v>-0.006363000000419561</v>
      </c>
      <c r="H22">
        <f t="shared" si="3"/>
        <v>-0.006363000000419561</v>
      </c>
      <c r="O22">
        <f t="shared" si="4"/>
        <v>-0.02194389106905451</v>
      </c>
      <c r="Q22" s="2">
        <f t="shared" si="5"/>
        <v>27728.684999999998</v>
      </c>
    </row>
    <row r="23" spans="1:17" ht="12.75">
      <c r="A23" s="51" t="s">
        <v>58</v>
      </c>
      <c r="B23" s="53" t="s">
        <v>77</v>
      </c>
      <c r="C23" s="52">
        <v>43038.531</v>
      </c>
      <c r="D23" s="52" t="s">
        <v>39</v>
      </c>
      <c r="E23">
        <f t="shared" si="0"/>
        <v>-242.00442687665557</v>
      </c>
      <c r="F23">
        <f t="shared" si="1"/>
        <v>-242</v>
      </c>
      <c r="G23">
        <f t="shared" si="2"/>
        <v>-0.012053999991621822</v>
      </c>
      <c r="H23">
        <f t="shared" si="3"/>
        <v>-0.012053999991621822</v>
      </c>
      <c r="O23">
        <f t="shared" si="4"/>
        <v>-0.021690685323987543</v>
      </c>
      <c r="Q23" s="2">
        <f t="shared" si="5"/>
        <v>28020.031000000003</v>
      </c>
    </row>
    <row r="24" spans="1:17" ht="12.75">
      <c r="A24" s="51" t="s">
        <v>58</v>
      </c>
      <c r="B24" s="53" t="s">
        <v>77</v>
      </c>
      <c r="C24" s="52">
        <v>43049.417</v>
      </c>
      <c r="D24" s="52" t="s">
        <v>39</v>
      </c>
      <c r="E24">
        <f t="shared" si="0"/>
        <v>-238.00650259482995</v>
      </c>
      <c r="F24">
        <f t="shared" si="1"/>
        <v>-238</v>
      </c>
      <c r="G24">
        <f t="shared" si="2"/>
        <v>-0.01770599999872502</v>
      </c>
      <c r="H24">
        <f t="shared" si="3"/>
        <v>-0.01770599999872502</v>
      </c>
      <c r="O24">
        <f t="shared" si="4"/>
        <v>-0.021681219688657934</v>
      </c>
      <c r="Q24" s="2">
        <f t="shared" si="5"/>
        <v>28030.917</v>
      </c>
    </row>
    <row r="25" spans="1:17" ht="12.75">
      <c r="A25">
        <f>D11</f>
        <v>0</v>
      </c>
      <c r="C25" s="8">
        <f>C$7</f>
        <v>43697.488</v>
      </c>
      <c r="D25" s="8" t="s">
        <v>13</v>
      </c>
      <c r="E25">
        <f t="shared" si="0"/>
        <v>0</v>
      </c>
      <c r="F25">
        <f t="shared" si="1"/>
        <v>0</v>
      </c>
      <c r="G25">
        <f t="shared" si="2"/>
        <v>0</v>
      </c>
      <c r="H25">
        <f t="shared" si="3"/>
        <v>0</v>
      </c>
      <c r="O25">
        <f t="shared" si="4"/>
        <v>-0.021118014386546362</v>
      </c>
      <c r="Q25" s="2">
        <f t="shared" si="5"/>
        <v>28678.987999999998</v>
      </c>
    </row>
    <row r="26" spans="1:17" ht="12.75">
      <c r="A26" s="51" t="s">
        <v>58</v>
      </c>
      <c r="B26" s="53" t="s">
        <v>77</v>
      </c>
      <c r="C26" s="52">
        <v>43757.434</v>
      </c>
      <c r="D26" s="52" t="s">
        <v>39</v>
      </c>
      <c r="E26">
        <f t="shared" si="0"/>
        <v>22.015393073522198</v>
      </c>
      <c r="F26">
        <f t="shared" si="1"/>
        <v>22</v>
      </c>
      <c r="G26">
        <f t="shared" si="2"/>
        <v>0.041914000001270324</v>
      </c>
      <c r="H26">
        <f t="shared" si="3"/>
        <v>0.041914000001270324</v>
      </c>
      <c r="O26">
        <f t="shared" si="4"/>
        <v>-0.02106595339223353</v>
      </c>
      <c r="Q26" s="2">
        <f t="shared" si="5"/>
        <v>28738.934</v>
      </c>
    </row>
    <row r="27" spans="1:17" ht="12.75">
      <c r="A27" s="51" t="s">
        <v>58</v>
      </c>
      <c r="B27" s="53" t="s">
        <v>77</v>
      </c>
      <c r="C27" s="52">
        <v>43787.295</v>
      </c>
      <c r="D27" s="52" t="s">
        <v>39</v>
      </c>
      <c r="E27">
        <f t="shared" si="0"/>
        <v>32.981957190700065</v>
      </c>
      <c r="F27">
        <f t="shared" si="1"/>
        <v>33</v>
      </c>
      <c r="G27">
        <f t="shared" si="2"/>
        <v>-0.049128999999084044</v>
      </c>
      <c r="H27">
        <f t="shared" si="3"/>
        <v>-0.049128999999084044</v>
      </c>
      <c r="O27">
        <f t="shared" si="4"/>
        <v>-0.02103992289507711</v>
      </c>
      <c r="Q27" s="2">
        <f t="shared" si="5"/>
        <v>28768.795</v>
      </c>
    </row>
    <row r="28" spans="1:17" ht="12.75">
      <c r="A28" s="54" t="s">
        <v>78</v>
      </c>
      <c r="B28" s="55" t="s">
        <v>77</v>
      </c>
      <c r="C28" s="56">
        <v>58706.172</v>
      </c>
      <c r="D28" s="56" t="s">
        <v>48</v>
      </c>
      <c r="E28">
        <f>+(C28-C$7)/C$8</f>
        <v>5511.995425487336</v>
      </c>
      <c r="F28">
        <f t="shared" si="1"/>
        <v>5512</v>
      </c>
      <c r="G28">
        <f>+C28-(C$7+F28*C$8)</f>
        <v>-0.012456000004021917</v>
      </c>
      <c r="K28">
        <f>+G28</f>
        <v>-0.012456000004021917</v>
      </c>
      <c r="O28">
        <f>+C$11+C$12*$F28</f>
        <v>-0.008074368902348918</v>
      </c>
      <c r="Q28" s="2">
        <f>+C28-15018.5</f>
        <v>43687.672</v>
      </c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otectedRanges>
    <protectedRange sqref="A28:D28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0"/>
  <sheetViews>
    <sheetView zoomScalePageLayoutView="0" workbookViewId="0" topLeftCell="A1">
      <selection activeCell="A12" sqref="A12:D17"/>
    </sheetView>
  </sheetViews>
  <sheetFormatPr defaultColWidth="9.140625" defaultRowHeight="12.75"/>
  <cols>
    <col min="1" max="1" width="19.7109375" style="8" customWidth="1"/>
    <col min="2" max="2" width="4.421875" style="10" customWidth="1"/>
    <col min="3" max="3" width="12.7109375" style="8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8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8" t="s">
        <v>42</v>
      </c>
      <c r="I1" s="39" t="s">
        <v>43</v>
      </c>
      <c r="J1" s="40" t="s">
        <v>41</v>
      </c>
    </row>
    <row r="2" spans="9:10" ht="12.75">
      <c r="I2" s="41" t="s">
        <v>44</v>
      </c>
      <c r="J2" s="42" t="s">
        <v>40</v>
      </c>
    </row>
    <row r="3" spans="1:10" ht="12.75">
      <c r="A3" s="43" t="s">
        <v>45</v>
      </c>
      <c r="I3" s="41" t="s">
        <v>46</v>
      </c>
      <c r="J3" s="42" t="s">
        <v>38</v>
      </c>
    </row>
    <row r="4" spans="9:10" ht="12.75">
      <c r="I4" s="41" t="s">
        <v>47</v>
      </c>
      <c r="J4" s="42" t="s">
        <v>38</v>
      </c>
    </row>
    <row r="5" spans="9:10" ht="13.5" thickBot="1">
      <c r="I5" s="44" t="s">
        <v>48</v>
      </c>
      <c r="J5" s="45" t="s">
        <v>39</v>
      </c>
    </row>
    <row r="10" ht="13.5" thickBot="1"/>
    <row r="11" spans="1:16" ht="12.75" customHeight="1" thickBot="1">
      <c r="A11" s="8" t="str">
        <f aca="true" t="shared" si="0" ref="A11:A17">P11</f>
        <v> PZP 4.223 </v>
      </c>
      <c r="B11" s="3" t="str">
        <f aca="true" t="shared" si="1" ref="B11:B17">IF(H11=INT(H11),"I","II")</f>
        <v>I</v>
      </c>
      <c r="C11" s="8">
        <f aca="true" t="shared" si="2" ref="C11:C17">1*G11</f>
        <v>43697.488</v>
      </c>
      <c r="D11" s="10" t="str">
        <f aca="true" t="shared" si="3" ref="D11:D17">VLOOKUP(F11,I$1:J$5,2,FALSE)</f>
        <v>vis</v>
      </c>
      <c r="E11" s="46">
        <f>VLOOKUP(C11,A!C$21:E$973,3,FALSE)</f>
        <v>0</v>
      </c>
      <c r="F11" s="3" t="s">
        <v>48</v>
      </c>
      <c r="G11" s="10" t="str">
        <f aca="true" t="shared" si="4" ref="G11:G17">MID(I11,3,LEN(I11)-3)</f>
        <v>43697.488</v>
      </c>
      <c r="H11" s="8">
        <f aca="true" t="shared" si="5" ref="H11:H17">1*K11</f>
        <v>0</v>
      </c>
      <c r="I11" s="47" t="s">
        <v>68</v>
      </c>
      <c r="J11" s="48" t="s">
        <v>69</v>
      </c>
      <c r="K11" s="47">
        <v>0</v>
      </c>
      <c r="L11" s="47" t="s">
        <v>70</v>
      </c>
      <c r="M11" s="48" t="s">
        <v>56</v>
      </c>
      <c r="N11" s="48"/>
      <c r="O11" s="49" t="s">
        <v>57</v>
      </c>
      <c r="P11" s="49" t="s">
        <v>58</v>
      </c>
    </row>
    <row r="12" spans="1:16" ht="12.75" customHeight="1" thickBot="1">
      <c r="A12" s="8" t="str">
        <f t="shared" si="0"/>
        <v> PZP 4.223 </v>
      </c>
      <c r="B12" s="3" t="str">
        <f t="shared" si="1"/>
        <v>I</v>
      </c>
      <c r="C12" s="8">
        <f t="shared" si="2"/>
        <v>42605.497</v>
      </c>
      <c r="D12" s="10" t="str">
        <f t="shared" si="3"/>
        <v>vis</v>
      </c>
      <c r="E12" s="46">
        <f>VLOOKUP(C12,A!C$21:E$973,3,FALSE)</f>
        <v>-401.0377856361898</v>
      </c>
      <c r="F12" s="3" t="s">
        <v>48</v>
      </c>
      <c r="G12" s="10" t="str">
        <f t="shared" si="4"/>
        <v>42605.497</v>
      </c>
      <c r="H12" s="8">
        <f t="shared" si="5"/>
        <v>-401</v>
      </c>
      <c r="I12" s="47" t="s">
        <v>53</v>
      </c>
      <c r="J12" s="48" t="s">
        <v>54</v>
      </c>
      <c r="K12" s="47">
        <v>-401</v>
      </c>
      <c r="L12" s="47" t="s">
        <v>55</v>
      </c>
      <c r="M12" s="48" t="s">
        <v>56</v>
      </c>
      <c r="N12" s="48"/>
      <c r="O12" s="49" t="s">
        <v>57</v>
      </c>
      <c r="P12" s="49" t="s">
        <v>58</v>
      </c>
    </row>
    <row r="13" spans="1:16" ht="12.75" customHeight="1" thickBot="1">
      <c r="A13" s="8" t="str">
        <f t="shared" si="0"/>
        <v> PZP 4.223 </v>
      </c>
      <c r="B13" s="3" t="str">
        <f t="shared" si="1"/>
        <v>I</v>
      </c>
      <c r="C13" s="8">
        <f t="shared" si="2"/>
        <v>42747.185</v>
      </c>
      <c r="D13" s="10" t="str">
        <f t="shared" si="3"/>
        <v>vis</v>
      </c>
      <c r="E13" s="46">
        <f>VLOOKUP(C13,A!C$21:E$973,3,FALSE)</f>
        <v>-349.0023368355874</v>
      </c>
      <c r="F13" s="3" t="s">
        <v>48</v>
      </c>
      <c r="G13" s="10" t="str">
        <f t="shared" si="4"/>
        <v>42747.185</v>
      </c>
      <c r="H13" s="8">
        <f t="shared" si="5"/>
        <v>-349</v>
      </c>
      <c r="I13" s="47" t="s">
        <v>59</v>
      </c>
      <c r="J13" s="48" t="s">
        <v>60</v>
      </c>
      <c r="K13" s="47">
        <v>-349</v>
      </c>
      <c r="L13" s="47" t="s">
        <v>61</v>
      </c>
      <c r="M13" s="48" t="s">
        <v>56</v>
      </c>
      <c r="N13" s="48"/>
      <c r="O13" s="49" t="s">
        <v>57</v>
      </c>
      <c r="P13" s="49" t="s">
        <v>58</v>
      </c>
    </row>
    <row r="14" spans="1:16" ht="12.75" customHeight="1" thickBot="1">
      <c r="A14" s="8" t="str">
        <f t="shared" si="0"/>
        <v> PZP 4.223 </v>
      </c>
      <c r="B14" s="3" t="str">
        <f t="shared" si="1"/>
        <v>I</v>
      </c>
      <c r="C14" s="8">
        <f t="shared" si="2"/>
        <v>43038.531</v>
      </c>
      <c r="D14" s="10" t="str">
        <f t="shared" si="3"/>
        <v>vis</v>
      </c>
      <c r="E14" s="46">
        <f>VLOOKUP(C14,A!C$21:E$973,3,FALSE)</f>
        <v>-242.00442687665557</v>
      </c>
      <c r="F14" s="3" t="s">
        <v>48</v>
      </c>
      <c r="G14" s="10" t="str">
        <f t="shared" si="4"/>
        <v>43038.531</v>
      </c>
      <c r="H14" s="8">
        <f t="shared" si="5"/>
        <v>-242</v>
      </c>
      <c r="I14" s="47" t="s">
        <v>62</v>
      </c>
      <c r="J14" s="48" t="s">
        <v>63</v>
      </c>
      <c r="K14" s="47">
        <v>-242</v>
      </c>
      <c r="L14" s="47" t="s">
        <v>64</v>
      </c>
      <c r="M14" s="48" t="s">
        <v>56</v>
      </c>
      <c r="N14" s="48"/>
      <c r="O14" s="49" t="s">
        <v>57</v>
      </c>
      <c r="P14" s="49" t="s">
        <v>58</v>
      </c>
    </row>
    <row r="15" spans="1:16" ht="12.75" customHeight="1" thickBot="1">
      <c r="A15" s="8" t="str">
        <f t="shared" si="0"/>
        <v> PZP 4.223 </v>
      </c>
      <c r="B15" s="3" t="str">
        <f t="shared" si="1"/>
        <v>I</v>
      </c>
      <c r="C15" s="8">
        <f t="shared" si="2"/>
        <v>43049.417</v>
      </c>
      <c r="D15" s="10" t="str">
        <f t="shared" si="3"/>
        <v>vis</v>
      </c>
      <c r="E15" s="46">
        <f>VLOOKUP(C15,A!C$21:E$973,3,FALSE)</f>
        <v>-238.00650259482995</v>
      </c>
      <c r="F15" s="3" t="s">
        <v>48</v>
      </c>
      <c r="G15" s="10" t="str">
        <f t="shared" si="4"/>
        <v>43049.417</v>
      </c>
      <c r="H15" s="8">
        <f t="shared" si="5"/>
        <v>-238</v>
      </c>
      <c r="I15" s="47" t="s">
        <v>65</v>
      </c>
      <c r="J15" s="48" t="s">
        <v>66</v>
      </c>
      <c r="K15" s="47">
        <v>-238</v>
      </c>
      <c r="L15" s="47" t="s">
        <v>67</v>
      </c>
      <c r="M15" s="48" t="s">
        <v>56</v>
      </c>
      <c r="N15" s="48"/>
      <c r="O15" s="49" t="s">
        <v>57</v>
      </c>
      <c r="P15" s="49" t="s">
        <v>58</v>
      </c>
    </row>
    <row r="16" spans="1:16" ht="12.75" customHeight="1" thickBot="1">
      <c r="A16" s="8" t="str">
        <f t="shared" si="0"/>
        <v> PZP 4.223 </v>
      </c>
      <c r="B16" s="3" t="str">
        <f t="shared" si="1"/>
        <v>I</v>
      </c>
      <c r="C16" s="8">
        <f t="shared" si="2"/>
        <v>43757.434</v>
      </c>
      <c r="D16" s="10" t="str">
        <f t="shared" si="3"/>
        <v>vis</v>
      </c>
      <c r="E16" s="46">
        <f>VLOOKUP(C16,A!C$21:E$973,3,FALSE)</f>
        <v>22.015393073522198</v>
      </c>
      <c r="F16" s="3" t="s">
        <v>48</v>
      </c>
      <c r="G16" s="10" t="str">
        <f t="shared" si="4"/>
        <v>43757.434</v>
      </c>
      <c r="H16" s="8">
        <f t="shared" si="5"/>
        <v>22</v>
      </c>
      <c r="I16" s="47" t="s">
        <v>71</v>
      </c>
      <c r="J16" s="48" t="s">
        <v>72</v>
      </c>
      <c r="K16" s="47">
        <v>22</v>
      </c>
      <c r="L16" s="47" t="s">
        <v>73</v>
      </c>
      <c r="M16" s="48" t="s">
        <v>56</v>
      </c>
      <c r="N16" s="48"/>
      <c r="O16" s="49" t="s">
        <v>57</v>
      </c>
      <c r="P16" s="49" t="s">
        <v>58</v>
      </c>
    </row>
    <row r="17" spans="1:16" ht="12.75" customHeight="1" thickBot="1">
      <c r="A17" s="8" t="str">
        <f t="shared" si="0"/>
        <v> PZP 4.223 </v>
      </c>
      <c r="B17" s="3" t="str">
        <f t="shared" si="1"/>
        <v>I</v>
      </c>
      <c r="C17" s="8">
        <f t="shared" si="2"/>
        <v>43787.295</v>
      </c>
      <c r="D17" s="10" t="str">
        <f t="shared" si="3"/>
        <v>vis</v>
      </c>
      <c r="E17" s="46">
        <f>VLOOKUP(C17,A!C$21:E$973,3,FALSE)</f>
        <v>32.981957190700065</v>
      </c>
      <c r="F17" s="3" t="s">
        <v>48</v>
      </c>
      <c r="G17" s="10" t="str">
        <f t="shared" si="4"/>
        <v>43787.295</v>
      </c>
      <c r="H17" s="8">
        <f t="shared" si="5"/>
        <v>33</v>
      </c>
      <c r="I17" s="47" t="s">
        <v>74</v>
      </c>
      <c r="J17" s="48" t="s">
        <v>75</v>
      </c>
      <c r="K17" s="47">
        <v>33</v>
      </c>
      <c r="L17" s="47" t="s">
        <v>76</v>
      </c>
      <c r="M17" s="48" t="s">
        <v>56</v>
      </c>
      <c r="N17" s="48"/>
      <c r="O17" s="49" t="s">
        <v>57</v>
      </c>
      <c r="P17" s="49" t="s">
        <v>58</v>
      </c>
    </row>
    <row r="18" spans="2:6" ht="12.75">
      <c r="B18" s="3"/>
      <c r="F18" s="3"/>
    </row>
    <row r="19" spans="2:6" ht="12.75">
      <c r="B19" s="3"/>
      <c r="F19" s="3"/>
    </row>
    <row r="20" spans="2:6" ht="12.75">
      <c r="B20" s="3"/>
      <c r="F20" s="3"/>
    </row>
    <row r="21" spans="2:6" ht="12.75">
      <c r="B21" s="3"/>
      <c r="F21" s="3"/>
    </row>
    <row r="22" spans="2:6" ht="12.75">
      <c r="B22" s="3"/>
      <c r="F22" s="3"/>
    </row>
    <row r="23" spans="2:6" ht="12.75">
      <c r="B23" s="3"/>
      <c r="F23" s="3"/>
    </row>
    <row r="24" spans="2:6" ht="12.75">
      <c r="B24" s="3"/>
      <c r="F24" s="3"/>
    </row>
    <row r="25" spans="2:6" ht="12.75">
      <c r="B25" s="3"/>
      <c r="F25" s="3"/>
    </row>
    <row r="26" spans="2:6" ht="12.75">
      <c r="B26" s="3"/>
      <c r="F26" s="3"/>
    </row>
    <row r="27" spans="2:6" ht="12.75">
      <c r="B27" s="3"/>
      <c r="F27" s="3"/>
    </row>
    <row r="28" spans="2:6" ht="12.75">
      <c r="B28" s="3"/>
      <c r="F28" s="3"/>
    </row>
    <row r="29" spans="2:6" ht="12.75">
      <c r="B29" s="3"/>
      <c r="F29" s="3"/>
    </row>
    <row r="30" spans="2:6" ht="12.75">
      <c r="B30" s="3"/>
      <c r="F30" s="3"/>
    </row>
    <row r="31" spans="2:6" ht="12.75">
      <c r="B31" s="3"/>
      <c r="F31" s="3"/>
    </row>
    <row r="32" spans="2:6" ht="12.75">
      <c r="B32" s="3"/>
      <c r="F32" s="3"/>
    </row>
    <row r="33" spans="2:6" ht="12.75">
      <c r="B33" s="3"/>
      <c r="F33" s="3"/>
    </row>
    <row r="34" spans="2:6" ht="12.75">
      <c r="B34" s="3"/>
      <c r="F34" s="3"/>
    </row>
    <row r="35" spans="2:6" ht="12.75">
      <c r="B35" s="3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</sheetData>
  <sheetProtection/>
  <hyperlinks>
    <hyperlink ref="A3" r:id="rId1" display="http://www.bav-astro.de/LkDB/index.php?lang=en&amp;sprache_dial=en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2022-11-13T23:25:04Z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