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<sst xmlns="http://schemas.openxmlformats.org/spreadsheetml/2006/main" count="161" uniqueCount="112">
  <si>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</si>
  <si>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</si>
  <si>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</si>
  <si>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</si>
  <si>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</si>
  <si>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</si>
  <si>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</si>
  <si>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</si>
  <si>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</si>
  <si>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</si>
  <si>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</si>
  <si>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</si>
  <si>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</si>
  <si>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</si>
  <si>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</si>
  <si>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</si>
  <si>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</si>
  <si>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</si>
  <si>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</si>
  <si>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</si>
  <si>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</si>
  <si>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</si>
  <si>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</si>
  <si>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</si>
  <si>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</si>
  <si>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</si>
  <si>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</si>
  <si>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</si>
  <si>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Elias D</t>
  </si>
  <si>
    <t>BBSAG Bull.81</t>
  </si>
  <si>
    <t>B</t>
  </si>
  <si>
    <t>IBVS 4887</t>
  </si>
  <si>
    <t>IBVS 4888</t>
  </si>
  <si>
    <t>IBVS 5583</t>
  </si>
  <si>
    <t>I</t>
  </si>
  <si>
    <t>EA/SD</t>
  </si>
  <si>
    <t># of data points:</t>
  </si>
  <si>
    <t>V1723 Cyg / ??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</si>
  <si>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</si>
  <si>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</si>
  <si>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</si>
  <si>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</si>
  <si>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</si>
  <si>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</si>
  <si>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</si>
  <si>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</si>
  <si>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OEJV 0107</t>
  </si>
  <si>
    <t>IBVS 6149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</si>
  <si>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</si>
  <si>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</si>
  <si>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</si>
  <si>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</si>
  <si>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</si>
  <si>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</si>
  <si>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</si>
  <si>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</si>
  <si>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</si>
  <si>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</si>
  <si>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2450671.4236 </t>
  </si>
  <si>
    <t> 10.08.1997 22:09 </t>
  </si>
  <si>
    <t> 0.0359 </t>
  </si>
  <si>
    <t>E </t>
  </si>
  <si>
    <t>?</t>
  </si>
  <si>
    <t> J.Safar </t>
  </si>
  <si>
    <t>IBVS 4887 </t>
  </si>
  <si>
    <t>2451045.3752 </t>
  </si>
  <si>
    <t> 19.08.1998 21:00 </t>
  </si>
  <si>
    <t> 0.0386 </t>
  </si>
  <si>
    <t> M.Zejda </t>
  </si>
  <si>
    <t>IBVS 4888 </t>
  </si>
  <si>
    <t>2451838.36660 </t>
  </si>
  <si>
    <t> 20.10.2000 20:47 </t>
  </si>
  <si>
    <t> 0.04612 </t>
  </si>
  <si>
    <t>C </t>
  </si>
  <si>
    <t>o</t>
  </si>
  <si>
    <t> D.Motl </t>
  </si>
  <si>
    <t>OEJV 0074 </t>
  </si>
  <si>
    <t>2452027.55340 </t>
  </si>
  <si>
    <t> 28.04.2001 01:16 </t>
  </si>
  <si>
    <t> 0.04836 </t>
  </si>
  <si>
    <t> P.Hájek </t>
  </si>
  <si>
    <t>2452097.3946 </t>
  </si>
  <si>
    <t> 06.07.2001 21:28 </t>
  </si>
  <si>
    <t> 0.0504 </t>
  </si>
  <si>
    <t>IBVS 5583 </t>
  </si>
  <si>
    <t>2452455.4311 </t>
  </si>
  <si>
    <t> 29.06.2002 22:20 </t>
  </si>
  <si>
    <t> 0.0507 </t>
  </si>
  <si>
    <t> R.Diethelm </t>
  </si>
  <si>
    <t> BBS 128 </t>
  </si>
  <si>
    <t>2453638.2759 </t>
  </si>
  <si>
    <t> 24.09.2005 18:37 </t>
  </si>
  <si>
    <t> 0.0500 </t>
  </si>
  <si>
    <t>R</t>
  </si>
  <si>
    <t> M.Lehky </t>
  </si>
  <si>
    <t>OEJV 0107 </t>
  </si>
  <si>
    <t>2454307.5005 </t>
  </si>
  <si>
    <t> 26.07.2007 00:00 </t>
  </si>
  <si>
    <t> 0.0563 </t>
  </si>
  <si>
    <t>2454360.5432 </t>
  </si>
  <si>
    <t> 17.09.2007 01:02 </t>
  </si>
  <si>
    <t> 0.0566 </t>
  </si>
  <si>
    <t>-I</t>
  </si>
  <si>
    <t> F.Agerer </t>
  </si>
  <si>
    <t>BAVM 193 </t>
  </si>
  <si>
    <t>2456877.4122 </t>
  </si>
  <si>
    <t> 07.08.2014 21:53 </t>
  </si>
  <si>
    <t>15987</t>
  </si>
  <si>
    <t> 0.0637 </t>
  </si>
  <si>
    <t> H.Jungbluth </t>
  </si>
  <si>
    <t>BAVM 238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</si>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</sst>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V1723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525"/>
          <c:w val="0.9077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0.0021</c:v>
                  </c:pt>
                  <c:pt idx="5">
                    <c:v>0.0017</c:v>
                  </c:pt>
                  <c:pt idx="6">
                    <c:v>0.0036</c:v>
                  </c:pt>
                  <c:pt idx="7">
                    <c:v>0.0007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0.0001</c:v>
                  </c:pt>
                  <c:pt idx="11">
                    <c:v>0.0001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26182558"/>
        <c:axId val="34316431"/>
      </c:scatterChart>
      <c:val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9305"/>
          <c:w val="0.77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19050</xdr:rowOff>
    </xdr:from>
    <xdr:to>
      <xdr:col>16</xdr:col>
      <xdr:colOff>447675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19050"/>
        <a:ext cx="6000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583" TargetMode="External" /><Relationship Id="rId6" Type="http://schemas.openxmlformats.org/officeDocument/2006/relationships/hyperlink" Target="http://var.astro.cz/oejv/issues/oejv0107.pdf" TargetMode="External" /><Relationship Id="rId7" Type="http://schemas.openxmlformats.org/officeDocument/2006/relationships/hyperlink" Target="http://var.astro.cz/oejv/issues/oejv0107.pdf" TargetMode="External" /><Relationship Id="rId8" Type="http://schemas.openxmlformats.org/officeDocument/2006/relationships/hyperlink" Target="http://www.bav-astro.de/sfs/BAVM_link.php?BAVMnr=193" TargetMode="External" /><Relationship Id="rId9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17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24</v>
      </c>
      <c r="B2" s="17" t="s">
        <v>35</v>
      </c>
    </row>
    <row r="4" spans="1:4" ht="14.25" thickBot="1" thickTop="1">
      <c r="A4" s="6" t="s">
        <v>0</v>
      </c>
      <c r="C4" s="3">
        <v>42744.201</v>
      </c>
      <c r="D4" s="4">
        <v>0.88404</v>
      </c>
    </row>
    <row r="5" spans="1:4" ht="13.5" thickTop="1">
      <c r="A5" s="14" t="s">
        <v>38</v>
      </c>
      <c r="B5" s="53"/>
      <c r="C5" s="16">
        <v>-9.5</v>
      </c>
      <c r="D5" s="15" t="s">
        <v>39</v>
      </c>
    </row>
    <row r="6" ht="12.75">
      <c r="A6" s="6" t="s">
        <v>1</v>
      </c>
    </row>
    <row r="7" spans="1:3" ht="12.75">
      <c r="A7" t="s">
        <v>2</v>
      </c>
      <c r="C7">
        <f>+C4</f>
        <v>42744.201</v>
      </c>
    </row>
    <row r="8" spans="1:3" ht="12.75">
      <c r="A8" t="s">
        <v>3</v>
      </c>
      <c r="C8">
        <f>+D4</f>
        <v>0.88404</v>
      </c>
    </row>
    <row r="9" spans="1:4" ht="12.75">
      <c r="A9" s="29" t="s">
        <v>43</v>
      </c>
      <c r="B9" s="30">
        <v>22</v>
      </c>
      <c r="C9" s="28" t="str">
        <f>"F"&amp;B9</f>
        <v>F22</v>
      </c>
      <c r="D9" s="10" t="str">
        <f>"G"&amp;B9</f>
        <v>G22</v>
      </c>
    </row>
    <row r="10" spans="1:5" ht="13.5" thickBot="1">
      <c r="A10" s="15"/>
      <c r="B10" s="53"/>
      <c r="C10" s="5" t="s">
        <v>20</v>
      </c>
      <c r="D10" s="5" t="s">
        <v>21</v>
      </c>
      <c r="E10" s="15"/>
    </row>
    <row r="11" spans="1:5" ht="12.75">
      <c r="A11" s="15" t="s">
        <v>16</v>
      </c>
      <c r="B11" s="53"/>
      <c r="C11" s="27">
        <f ca="1">INTERCEPT(INDIRECT($D$9):G990,INDIRECT($C$9):F990)</f>
        <v>-0.007707054148358421</v>
      </c>
      <c r="D11" s="17"/>
      <c r="E11" s="15"/>
    </row>
    <row r="12" spans="1:5" ht="12.75">
      <c r="A12" s="15" t="s">
        <v>17</v>
      </c>
      <c r="B12" s="53"/>
      <c r="C12" s="27">
        <f ca="1">SLOPE(INDIRECT($D$9):G990,INDIRECT($C$9):F990)</f>
        <v>4.880862039664468E-06</v>
      </c>
      <c r="D12" s="17"/>
      <c r="E12" s="15"/>
    </row>
    <row r="13" spans="1:3" ht="12.75">
      <c r="A13" s="15" t="s">
        <v>19</v>
      </c>
      <c r="B13" s="53"/>
      <c r="C13" s="17" t="s">
        <v>14</v>
      </c>
    </row>
    <row r="14" spans="1:3" ht="12.75">
      <c r="A14" s="15"/>
      <c r="B14" s="53"/>
      <c r="C14" s="15"/>
    </row>
    <row r="15" spans="1:6" ht="12.75">
      <c r="A15" s="18" t="s">
        <v>18</v>
      </c>
      <c r="B15" s="53"/>
      <c r="C15" s="19">
        <f>(C7+C11)+(C8+C12)*INT(MAX(F21:F3531))</f>
        <v>56877.41880328728</v>
      </c>
      <c r="E15" s="17"/>
      <c r="F15" s="15"/>
    </row>
    <row r="16" spans="1:6" ht="12.75">
      <c r="A16" s="22" t="s">
        <v>4</v>
      </c>
      <c r="B16" s="53"/>
      <c r="C16" s="23">
        <f>+C8+C12</f>
        <v>0.8840448808620397</v>
      </c>
      <c r="E16" s="15"/>
      <c r="F16" s="15"/>
    </row>
    <row r="17" spans="1:6" ht="13.5" thickBot="1">
      <c r="A17" s="20" t="s">
        <v>36</v>
      </c>
      <c r="B17" s="53"/>
      <c r="C17" s="15">
        <f>COUNT(C21:C2189)</f>
        <v>12</v>
      </c>
      <c r="E17" s="20" t="s">
        <v>40</v>
      </c>
      <c r="F17" s="21">
        <f ca="1">TODAY()+15018.5-B5/24</f>
        <v>59897.5</v>
      </c>
    </row>
    <row r="18" spans="1:6" ht="14.25" thickBot="1" thickTop="1">
      <c r="A18" s="22" t="s">
        <v>5</v>
      </c>
      <c r="B18" s="53"/>
      <c r="C18" s="25">
        <f>+C15</f>
        <v>56877.41880328728</v>
      </c>
      <c r="D18" s="26">
        <f>+C16</f>
        <v>0.8840448808620397</v>
      </c>
      <c r="E18" s="20" t="s">
        <v>41</v>
      </c>
      <c r="F18" s="21">
        <f>ROUND(2*(F17-C15)/C16,0)/2+1</f>
        <v>3417</v>
      </c>
    </row>
    <row r="19" spans="5:6" ht="13.5" thickTop="1">
      <c r="E19" s="20" t="s">
        <v>42</v>
      </c>
      <c r="F19" s="24">
        <f>+C15+C16*F18-15018.5-C5/24</f>
        <v>44880.0959945262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54</v>
      </c>
      <c r="I20" s="8" t="s">
        <v>57</v>
      </c>
      <c r="J20" s="8" t="s">
        <v>51</v>
      </c>
      <c r="K20" s="8" t="s">
        <v>45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56" t="s">
        <v>111</v>
      </c>
    </row>
    <row r="21" spans="1:17" ht="12.75">
      <c r="A21" s="51" t="s">
        <v>89</v>
      </c>
      <c r="B21" s="55" t="s">
        <v>34</v>
      </c>
      <c r="C21" s="52">
        <v>52455.4311</v>
      </c>
      <c r="D21" s="52" t="s">
        <v>57</v>
      </c>
      <c r="E21">
        <f aca="true" t="shared" si="0" ref="E21:E32">+(C21-C$7)/C$8</f>
        <v>10985.057350346138</v>
      </c>
      <c r="F21">
        <f aca="true" t="shared" si="1" ref="F21:F32">ROUND(2*E21,0)/2</f>
        <v>10985</v>
      </c>
      <c r="G21">
        <f>+C21-(C$7+F21*C$8)</f>
        <v>0.05069999999977881</v>
      </c>
      <c r="K21">
        <f>+G21</f>
        <v>0.05069999999977881</v>
      </c>
      <c r="O21">
        <f aca="true" t="shared" si="2" ref="O21:O32">+C$11+C$12*F21</f>
        <v>0.04590921535735576</v>
      </c>
      <c r="Q21" s="2">
        <f aca="true" t="shared" si="3" ref="Q21:Q32">+C21-15018.5</f>
        <v>37436.9311</v>
      </c>
    </row>
    <row r="22" spans="1:17" ht="12.75">
      <c r="A22" s="51" t="s">
        <v>104</v>
      </c>
      <c r="B22" s="55" t="s">
        <v>34</v>
      </c>
      <c r="C22" s="52">
        <v>54360.5432</v>
      </c>
      <c r="D22" s="52" t="s">
        <v>57</v>
      </c>
      <c r="E22">
        <f t="shared" si="0"/>
        <v>13140.064024252295</v>
      </c>
      <c r="F22">
        <f t="shared" si="1"/>
        <v>13140</v>
      </c>
      <c r="G22">
        <f>+C22-(C$7+F22*C$8)</f>
        <v>0.05659999999625143</v>
      </c>
      <c r="K22">
        <f>+G22</f>
        <v>0.05659999999625143</v>
      </c>
      <c r="O22">
        <f t="shared" si="2"/>
        <v>0.05642747305283268</v>
      </c>
      <c r="Q22" s="2">
        <f t="shared" si="3"/>
        <v>39342.0432</v>
      </c>
    </row>
    <row r="23" spans="1:30" ht="12.75">
      <c r="A23" t="s">
        <v>29</v>
      </c>
      <c r="C23" s="13">
        <v>46630.448</v>
      </c>
      <c r="D23" s="11"/>
      <c r="E23">
        <f t="shared" si="0"/>
        <v>4396.008099181027</v>
      </c>
      <c r="F23">
        <f t="shared" si="1"/>
        <v>4396</v>
      </c>
      <c r="G23">
        <f>+C23-(C$7+F23*C$8)</f>
        <v>0.007159999993746169</v>
      </c>
      <c r="I23">
        <f>+G23</f>
        <v>0.007159999993746169</v>
      </c>
      <c r="O23">
        <f t="shared" si="2"/>
        <v>0.01374921537800658</v>
      </c>
      <c r="Q23" s="2">
        <f t="shared" si="3"/>
        <v>31611.947999999997</v>
      </c>
      <c r="AA23">
        <v>28</v>
      </c>
      <c r="AB23" t="s">
        <v>28</v>
      </c>
      <c r="AD23" t="s">
        <v>30</v>
      </c>
    </row>
    <row r="24" spans="1:17" ht="12.75">
      <c r="A24" t="s">
        <v>12</v>
      </c>
      <c r="C24" s="11">
        <v>42744.201</v>
      </c>
      <c r="D24" s="11" t="s">
        <v>14</v>
      </c>
      <c r="E24">
        <f t="shared" si="0"/>
        <v>0</v>
      </c>
      <c r="F24">
        <f t="shared" si="1"/>
        <v>0</v>
      </c>
      <c r="H24" s="10">
        <v>0</v>
      </c>
      <c r="O24">
        <f t="shared" si="2"/>
        <v>-0.007707054148358421</v>
      </c>
      <c r="Q24" s="2">
        <f t="shared" si="3"/>
        <v>27725.701</v>
      </c>
    </row>
    <row r="25" spans="1:17" ht="12.75">
      <c r="A25" t="s">
        <v>31</v>
      </c>
      <c r="C25" s="11">
        <v>50671.4236</v>
      </c>
      <c r="D25" s="11">
        <v>0.0021</v>
      </c>
      <c r="E25">
        <f t="shared" si="0"/>
        <v>8967.040631645628</v>
      </c>
      <c r="F25">
        <f t="shared" si="1"/>
        <v>8967</v>
      </c>
      <c r="G25">
        <f aca="true" t="shared" si="4" ref="G25:G32">+C25-(C$7+F25*C$8)</f>
        <v>0.03592000000207918</v>
      </c>
      <c r="K25">
        <f>+G25</f>
        <v>0.03592000000207918</v>
      </c>
      <c r="O25">
        <f t="shared" si="2"/>
        <v>0.03605963576131286</v>
      </c>
      <c r="Q25" s="2">
        <f t="shared" si="3"/>
        <v>35652.9236</v>
      </c>
    </row>
    <row r="26" spans="1:17" ht="12.75">
      <c r="A26" t="s">
        <v>32</v>
      </c>
      <c r="C26" s="11">
        <v>51045.3752</v>
      </c>
      <c r="D26" s="11">
        <v>0.0017</v>
      </c>
      <c r="E26">
        <f t="shared" si="0"/>
        <v>9390.043663182661</v>
      </c>
      <c r="F26">
        <f t="shared" si="1"/>
        <v>9390</v>
      </c>
      <c r="G26">
        <f t="shared" si="4"/>
        <v>0.0385999999998603</v>
      </c>
      <c r="K26">
        <f>+G26</f>
        <v>0.0385999999998603</v>
      </c>
      <c r="O26">
        <f t="shared" si="2"/>
        <v>0.03812424040409093</v>
      </c>
      <c r="Q26" s="2">
        <f t="shared" si="3"/>
        <v>36026.8752</v>
      </c>
    </row>
    <row r="27" spans="1:17" ht="12.75">
      <c r="A27" s="9" t="s">
        <v>33</v>
      </c>
      <c r="B27" s="54" t="s">
        <v>34</v>
      </c>
      <c r="C27" s="12">
        <v>52097.3946</v>
      </c>
      <c r="D27" s="12">
        <v>0.0036</v>
      </c>
      <c r="E27">
        <f t="shared" si="0"/>
        <v>10580.057010994975</v>
      </c>
      <c r="F27">
        <f t="shared" si="1"/>
        <v>10580</v>
      </c>
      <c r="G27">
        <f t="shared" si="4"/>
        <v>0.05040000000008149</v>
      </c>
      <c r="K27">
        <f>+G27</f>
        <v>0.05040000000008149</v>
      </c>
      <c r="O27">
        <f t="shared" si="2"/>
        <v>0.04393246623129165</v>
      </c>
      <c r="Q27" s="2">
        <f t="shared" si="3"/>
        <v>37078.8946</v>
      </c>
    </row>
    <row r="28" spans="1:17" ht="12.75">
      <c r="A28" s="36" t="s">
        <v>47</v>
      </c>
      <c r="B28" s="37" t="s">
        <v>34</v>
      </c>
      <c r="C28" s="36">
        <v>56877.4122</v>
      </c>
      <c r="D28" s="36">
        <v>0.0007</v>
      </c>
      <c r="E28">
        <f t="shared" si="0"/>
        <v>15987.072078186504</v>
      </c>
      <c r="F28">
        <f t="shared" si="1"/>
        <v>15987</v>
      </c>
      <c r="G28">
        <f t="shared" si="4"/>
        <v>0.06371999999828404</v>
      </c>
      <c r="J28">
        <f>+G28</f>
        <v>0.06371999999828404</v>
      </c>
      <c r="O28">
        <f t="shared" si="2"/>
        <v>0.07032328727975742</v>
      </c>
      <c r="Q28" s="2">
        <f t="shared" si="3"/>
        <v>41858.9122</v>
      </c>
    </row>
    <row r="29" spans="1:17" ht="12.75">
      <c r="A29" s="31" t="s">
        <v>44</v>
      </c>
      <c r="B29" s="32" t="s">
        <v>34</v>
      </c>
      <c r="C29" s="31">
        <v>51838.3666</v>
      </c>
      <c r="D29" s="31" t="s">
        <v>45</v>
      </c>
      <c r="E29">
        <f t="shared" si="0"/>
        <v>10287.052169585086</v>
      </c>
      <c r="F29">
        <f t="shared" si="1"/>
        <v>10287</v>
      </c>
      <c r="G29">
        <f t="shared" si="4"/>
        <v>0.04611999999906402</v>
      </c>
      <c r="K29">
        <f>+G29</f>
        <v>0.04611999999906402</v>
      </c>
      <c r="O29">
        <f t="shared" si="2"/>
        <v>0.04250237365366996</v>
      </c>
      <c r="Q29" s="2">
        <f t="shared" si="3"/>
        <v>36819.8666</v>
      </c>
    </row>
    <row r="30" spans="1:17" ht="12.75">
      <c r="A30" s="31" t="s">
        <v>44</v>
      </c>
      <c r="B30" s="32" t="s">
        <v>34</v>
      </c>
      <c r="C30" s="31">
        <v>52027.5534</v>
      </c>
      <c r="D30" s="31" t="s">
        <v>45</v>
      </c>
      <c r="E30">
        <f t="shared" si="0"/>
        <v>10501.05470340708</v>
      </c>
      <c r="F30">
        <f t="shared" si="1"/>
        <v>10501</v>
      </c>
      <c r="G30">
        <f t="shared" si="4"/>
        <v>0.048359999993408564</v>
      </c>
      <c r="K30">
        <f>+G30</f>
        <v>0.048359999993408564</v>
      </c>
      <c r="O30">
        <f t="shared" si="2"/>
        <v>0.04354687813015816</v>
      </c>
      <c r="Q30" s="2">
        <f t="shared" si="3"/>
        <v>37009.0534</v>
      </c>
    </row>
    <row r="31" spans="1:17" ht="12.75">
      <c r="A31" s="33" t="s">
        <v>46</v>
      </c>
      <c r="B31" s="34" t="s">
        <v>34</v>
      </c>
      <c r="C31" s="35">
        <v>53638.27594</v>
      </c>
      <c r="D31" s="35">
        <v>0.0001</v>
      </c>
      <c r="E31">
        <f t="shared" si="0"/>
        <v>12323.056581150173</v>
      </c>
      <c r="F31">
        <f t="shared" si="1"/>
        <v>12323</v>
      </c>
      <c r="G31">
        <f t="shared" si="4"/>
        <v>0.05002000000240514</v>
      </c>
      <c r="K31">
        <f>+G31</f>
        <v>0.05002000000240514</v>
      </c>
      <c r="O31">
        <f t="shared" si="2"/>
        <v>0.052439808766426815</v>
      </c>
      <c r="Q31" s="2">
        <f t="shared" si="3"/>
        <v>38619.77594</v>
      </c>
    </row>
    <row r="32" spans="1:17" ht="12.75">
      <c r="A32" s="33" t="s">
        <v>46</v>
      </c>
      <c r="B32" s="34" t="s">
        <v>34</v>
      </c>
      <c r="C32" s="35">
        <v>54307.50054</v>
      </c>
      <c r="D32" s="35">
        <v>0.0001</v>
      </c>
      <c r="E32">
        <f t="shared" si="0"/>
        <v>13080.063730147956</v>
      </c>
      <c r="F32">
        <f t="shared" si="1"/>
        <v>13080</v>
      </c>
      <c r="G32">
        <f t="shared" si="4"/>
        <v>0.05634000000281958</v>
      </c>
      <c r="K32">
        <f>+G32</f>
        <v>0.05634000000281958</v>
      </c>
      <c r="O32">
        <f t="shared" si="2"/>
        <v>0.05613462133045282</v>
      </c>
      <c r="Q32" s="2">
        <f t="shared" si="3"/>
        <v>39289.00054</v>
      </c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4"/>
  <sheetViews>
    <sheetView zoomScalePageLayoutView="0" workbookViewId="0" topLeftCell="A1">
      <selection activeCell="A17" sqref="A17:D20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8" t="s">
        <v>48</v>
      </c>
      <c r="I1" s="39" t="s">
        <v>49</v>
      </c>
      <c r="J1" s="40" t="s">
        <v>45</v>
      </c>
    </row>
    <row r="2" spans="9:10" ht="12.75">
      <c r="I2" s="41" t="s">
        <v>50</v>
      </c>
      <c r="J2" s="42" t="s">
        <v>51</v>
      </c>
    </row>
    <row r="3" spans="1:10" ht="12.75">
      <c r="A3" s="43" t="s">
        <v>52</v>
      </c>
      <c r="I3" s="41" t="s">
        <v>53</v>
      </c>
      <c r="J3" s="42" t="s">
        <v>54</v>
      </c>
    </row>
    <row r="4" spans="9:10" ht="12.75">
      <c r="I4" s="41" t="s">
        <v>55</v>
      </c>
      <c r="J4" s="42" t="s">
        <v>54</v>
      </c>
    </row>
    <row r="5" spans="9:10" ht="13.5" thickBot="1">
      <c r="I5" s="44" t="s">
        <v>56</v>
      </c>
      <c r="J5" s="45" t="s">
        <v>57</v>
      </c>
    </row>
    <row r="10" ht="13.5" thickBot="1"/>
    <row r="11" spans="1:16" ht="12.75" customHeight="1" thickBot="1">
      <c r="A11" s="11" t="str">
        <f aca="true" t="shared" si="0" ref="A11:A20">P11</f>
        <v>IBVS 4887 </v>
      </c>
      <c r="B11" s="17" t="str">
        <f aca="true" t="shared" si="1" ref="B11:B20">IF(H11=INT(H11),"I","II")</f>
        <v>I</v>
      </c>
      <c r="C11" s="11">
        <f aca="true" t="shared" si="2" ref="C11:C20">1*G11</f>
        <v>50671.4236</v>
      </c>
      <c r="D11" s="15" t="str">
        <f aca="true" t="shared" si="3" ref="D11:D20">VLOOKUP(F11,I$1:J$5,2,FALSE)</f>
        <v>vis</v>
      </c>
      <c r="E11" s="46">
        <f>VLOOKUP(C11,A!C$21:E$971,3,FALSE)</f>
        <v>8967.040631645628</v>
      </c>
      <c r="F11" s="17" t="s">
        <v>56</v>
      </c>
      <c r="G11" s="15" t="str">
        <f aca="true" t="shared" si="4" ref="G11:G20">MID(I11,3,LEN(I11)-3)</f>
        <v>50671.4236</v>
      </c>
      <c r="H11" s="11">
        <f aca="true" t="shared" si="5" ref="H11:H20">1*K11</f>
        <v>8967</v>
      </c>
      <c r="I11" s="47" t="s">
        <v>58</v>
      </c>
      <c r="J11" s="48" t="s">
        <v>59</v>
      </c>
      <c r="K11" s="47">
        <v>8967</v>
      </c>
      <c r="L11" s="47" t="s">
        <v>60</v>
      </c>
      <c r="M11" s="48" t="s">
        <v>61</v>
      </c>
      <c r="N11" s="48" t="s">
        <v>62</v>
      </c>
      <c r="O11" s="49" t="s">
        <v>63</v>
      </c>
      <c r="P11" s="50" t="s">
        <v>64</v>
      </c>
    </row>
    <row r="12" spans="1:16" ht="12.75" customHeight="1" thickBot="1">
      <c r="A12" s="11" t="str">
        <f t="shared" si="0"/>
        <v>IBVS 4888 </v>
      </c>
      <c r="B12" s="17" t="str">
        <f t="shared" si="1"/>
        <v>I</v>
      </c>
      <c r="C12" s="11">
        <f t="shared" si="2"/>
        <v>51045.3752</v>
      </c>
      <c r="D12" s="15" t="str">
        <f t="shared" si="3"/>
        <v>vis</v>
      </c>
      <c r="E12" s="46">
        <f>VLOOKUP(C12,A!C$21:E$971,3,FALSE)</f>
        <v>9390.043663182661</v>
      </c>
      <c r="F12" s="17" t="s">
        <v>56</v>
      </c>
      <c r="G12" s="15" t="str">
        <f t="shared" si="4"/>
        <v>51045.3752</v>
      </c>
      <c r="H12" s="11">
        <f t="shared" si="5"/>
        <v>9390</v>
      </c>
      <c r="I12" s="47" t="s">
        <v>65</v>
      </c>
      <c r="J12" s="48" t="s">
        <v>66</v>
      </c>
      <c r="K12" s="47">
        <v>9390</v>
      </c>
      <c r="L12" s="47" t="s">
        <v>67</v>
      </c>
      <c r="M12" s="48" t="s">
        <v>61</v>
      </c>
      <c r="N12" s="48" t="s">
        <v>62</v>
      </c>
      <c r="O12" s="49" t="s">
        <v>68</v>
      </c>
      <c r="P12" s="50" t="s">
        <v>69</v>
      </c>
    </row>
    <row r="13" spans="1:16" ht="12.75" customHeight="1" thickBot="1">
      <c r="A13" s="11" t="str">
        <f t="shared" si="0"/>
        <v>OEJV 0074 </v>
      </c>
      <c r="B13" s="17" t="str">
        <f t="shared" si="1"/>
        <v>I</v>
      </c>
      <c r="C13" s="11">
        <f t="shared" si="2"/>
        <v>51838.3666</v>
      </c>
      <c r="D13" s="15" t="str">
        <f t="shared" si="3"/>
        <v>vis</v>
      </c>
      <c r="E13" s="46">
        <f>VLOOKUP(C13,A!C$21:E$971,3,FALSE)</f>
        <v>10287.052169585086</v>
      </c>
      <c r="F13" s="17" t="s">
        <v>56</v>
      </c>
      <c r="G13" s="15" t="str">
        <f t="shared" si="4"/>
        <v>51838.36660</v>
      </c>
      <c r="H13" s="11">
        <f t="shared" si="5"/>
        <v>10287</v>
      </c>
      <c r="I13" s="47" t="s">
        <v>70</v>
      </c>
      <c r="J13" s="48" t="s">
        <v>71</v>
      </c>
      <c r="K13" s="47">
        <v>10287</v>
      </c>
      <c r="L13" s="47" t="s">
        <v>72</v>
      </c>
      <c r="M13" s="48" t="s">
        <v>73</v>
      </c>
      <c r="N13" s="48" t="s">
        <v>74</v>
      </c>
      <c r="O13" s="49" t="s">
        <v>75</v>
      </c>
      <c r="P13" s="50" t="s">
        <v>76</v>
      </c>
    </row>
    <row r="14" spans="1:16" ht="12.75" customHeight="1" thickBot="1">
      <c r="A14" s="11" t="str">
        <f t="shared" si="0"/>
        <v>OEJV 0074 </v>
      </c>
      <c r="B14" s="17" t="str">
        <f t="shared" si="1"/>
        <v>I</v>
      </c>
      <c r="C14" s="11">
        <f t="shared" si="2"/>
        <v>52027.5534</v>
      </c>
      <c r="D14" s="15" t="str">
        <f t="shared" si="3"/>
        <v>vis</v>
      </c>
      <c r="E14" s="46">
        <f>VLOOKUP(C14,A!C$21:E$971,3,FALSE)</f>
        <v>10501.05470340708</v>
      </c>
      <c r="F14" s="17" t="s">
        <v>56</v>
      </c>
      <c r="G14" s="15" t="str">
        <f t="shared" si="4"/>
        <v>52027.55340</v>
      </c>
      <c r="H14" s="11">
        <f t="shared" si="5"/>
        <v>10501</v>
      </c>
      <c r="I14" s="47" t="s">
        <v>77</v>
      </c>
      <c r="J14" s="48" t="s">
        <v>78</v>
      </c>
      <c r="K14" s="47">
        <v>10501</v>
      </c>
      <c r="L14" s="47" t="s">
        <v>79</v>
      </c>
      <c r="M14" s="48" t="s">
        <v>73</v>
      </c>
      <c r="N14" s="48" t="s">
        <v>74</v>
      </c>
      <c r="O14" s="49" t="s">
        <v>80</v>
      </c>
      <c r="P14" s="50" t="s">
        <v>76</v>
      </c>
    </row>
    <row r="15" spans="1:16" ht="12.75" customHeight="1" thickBot="1">
      <c r="A15" s="11" t="str">
        <f t="shared" si="0"/>
        <v>IBVS 5583 </v>
      </c>
      <c r="B15" s="17" t="str">
        <f t="shared" si="1"/>
        <v>I</v>
      </c>
      <c r="C15" s="11">
        <f t="shared" si="2"/>
        <v>52097.3946</v>
      </c>
      <c r="D15" s="15" t="str">
        <f t="shared" si="3"/>
        <v>vis</v>
      </c>
      <c r="E15" s="46">
        <f>VLOOKUP(C15,A!C$21:E$971,3,FALSE)</f>
        <v>10580.057010994975</v>
      </c>
      <c r="F15" s="17" t="s">
        <v>56</v>
      </c>
      <c r="G15" s="15" t="str">
        <f t="shared" si="4"/>
        <v>52097.3946</v>
      </c>
      <c r="H15" s="11">
        <f t="shared" si="5"/>
        <v>10580</v>
      </c>
      <c r="I15" s="47" t="s">
        <v>81</v>
      </c>
      <c r="J15" s="48" t="s">
        <v>82</v>
      </c>
      <c r="K15" s="47">
        <v>10580</v>
      </c>
      <c r="L15" s="47" t="s">
        <v>83</v>
      </c>
      <c r="M15" s="48" t="s">
        <v>61</v>
      </c>
      <c r="N15" s="48" t="s">
        <v>62</v>
      </c>
      <c r="O15" s="49" t="s">
        <v>68</v>
      </c>
      <c r="P15" s="50" t="s">
        <v>84</v>
      </c>
    </row>
    <row r="16" spans="1:16" ht="12.75" customHeight="1" thickBot="1">
      <c r="A16" s="11" t="str">
        <f t="shared" si="0"/>
        <v>BAVM 238 </v>
      </c>
      <c r="B16" s="17" t="str">
        <f t="shared" si="1"/>
        <v>I</v>
      </c>
      <c r="C16" s="11">
        <f t="shared" si="2"/>
        <v>56877.4122</v>
      </c>
      <c r="D16" s="15" t="str">
        <f t="shared" si="3"/>
        <v>vis</v>
      </c>
      <c r="E16" s="46">
        <f>VLOOKUP(C16,A!C$21:E$971,3,FALSE)</f>
        <v>15987.072078186504</v>
      </c>
      <c r="F16" s="17" t="s">
        <v>56</v>
      </c>
      <c r="G16" s="15" t="str">
        <f t="shared" si="4"/>
        <v>56877.4122</v>
      </c>
      <c r="H16" s="11">
        <f t="shared" si="5"/>
        <v>15987</v>
      </c>
      <c r="I16" s="47" t="s">
        <v>105</v>
      </c>
      <c r="J16" s="48" t="s">
        <v>106</v>
      </c>
      <c r="K16" s="47" t="s">
        <v>107</v>
      </c>
      <c r="L16" s="47" t="s">
        <v>108</v>
      </c>
      <c r="M16" s="48" t="s">
        <v>73</v>
      </c>
      <c r="N16" s="48" t="s">
        <v>74</v>
      </c>
      <c r="O16" s="49" t="s">
        <v>109</v>
      </c>
      <c r="P16" s="50" t="s">
        <v>110</v>
      </c>
    </row>
    <row r="17" spans="1:16" ht="12.75" customHeight="1" thickBot="1">
      <c r="A17" s="11" t="str">
        <f t="shared" si="0"/>
        <v> BBS 128 </v>
      </c>
      <c r="B17" s="17" t="str">
        <f t="shared" si="1"/>
        <v>I</v>
      </c>
      <c r="C17" s="11">
        <f t="shared" si="2"/>
        <v>52455.4311</v>
      </c>
      <c r="D17" s="15" t="str">
        <f t="shared" si="3"/>
        <v>vis</v>
      </c>
      <c r="E17" s="46">
        <f>VLOOKUP(C17,A!C$21:E$971,3,FALSE)</f>
        <v>10985.057350346138</v>
      </c>
      <c r="F17" s="17" t="s">
        <v>56</v>
      </c>
      <c r="G17" s="15" t="str">
        <f t="shared" si="4"/>
        <v>52455.4311</v>
      </c>
      <c r="H17" s="11">
        <f t="shared" si="5"/>
        <v>10985</v>
      </c>
      <c r="I17" s="47" t="s">
        <v>85</v>
      </c>
      <c r="J17" s="48" t="s">
        <v>86</v>
      </c>
      <c r="K17" s="47">
        <v>10985</v>
      </c>
      <c r="L17" s="47" t="s">
        <v>87</v>
      </c>
      <c r="M17" s="48" t="s">
        <v>61</v>
      </c>
      <c r="N17" s="48" t="s">
        <v>62</v>
      </c>
      <c r="O17" s="49" t="s">
        <v>88</v>
      </c>
      <c r="P17" s="49" t="s">
        <v>89</v>
      </c>
    </row>
    <row r="18" spans="1:16" ht="12.75" customHeight="1" thickBot="1">
      <c r="A18" s="11" t="str">
        <f t="shared" si="0"/>
        <v>OEJV 0107 </v>
      </c>
      <c r="B18" s="17" t="str">
        <f t="shared" si="1"/>
        <v>I</v>
      </c>
      <c r="C18" s="11">
        <f t="shared" si="2"/>
        <v>53638.2759</v>
      </c>
      <c r="D18" s="15" t="str">
        <f t="shared" si="3"/>
        <v>vis</v>
      </c>
      <c r="E18" s="46" t="e">
        <f>VLOOKUP(C18,A!C$21:E$971,3,FALSE)</f>
        <v>#N/A</v>
      </c>
      <c r="F18" s="17" t="s">
        <v>56</v>
      </c>
      <c r="G18" s="15" t="str">
        <f t="shared" si="4"/>
        <v>53638.2759</v>
      </c>
      <c r="H18" s="11">
        <f t="shared" si="5"/>
        <v>12323</v>
      </c>
      <c r="I18" s="47" t="s">
        <v>90</v>
      </c>
      <c r="J18" s="48" t="s">
        <v>91</v>
      </c>
      <c r="K18" s="47">
        <v>12323</v>
      </c>
      <c r="L18" s="47" t="s">
        <v>92</v>
      </c>
      <c r="M18" s="48" t="s">
        <v>73</v>
      </c>
      <c r="N18" s="48" t="s">
        <v>93</v>
      </c>
      <c r="O18" s="49" t="s">
        <v>94</v>
      </c>
      <c r="P18" s="50" t="s">
        <v>95</v>
      </c>
    </row>
    <row r="19" spans="1:16" ht="12.75" customHeight="1" thickBot="1">
      <c r="A19" s="11" t="str">
        <f t="shared" si="0"/>
        <v>OEJV 0107 </v>
      </c>
      <c r="B19" s="17" t="str">
        <f t="shared" si="1"/>
        <v>I</v>
      </c>
      <c r="C19" s="11">
        <f t="shared" si="2"/>
        <v>54307.5005</v>
      </c>
      <c r="D19" s="15" t="str">
        <f t="shared" si="3"/>
        <v>vis</v>
      </c>
      <c r="E19" s="46" t="e">
        <f>VLOOKUP(C19,A!C$21:E$971,3,FALSE)</f>
        <v>#N/A</v>
      </c>
      <c r="F19" s="17" t="s">
        <v>56</v>
      </c>
      <c r="G19" s="15" t="str">
        <f t="shared" si="4"/>
        <v>54307.5005</v>
      </c>
      <c r="H19" s="11">
        <f t="shared" si="5"/>
        <v>13080</v>
      </c>
      <c r="I19" s="47" t="s">
        <v>96</v>
      </c>
      <c r="J19" s="48" t="s">
        <v>97</v>
      </c>
      <c r="K19" s="47">
        <v>13080</v>
      </c>
      <c r="L19" s="47" t="s">
        <v>98</v>
      </c>
      <c r="M19" s="48" t="s">
        <v>73</v>
      </c>
      <c r="N19" s="48" t="s">
        <v>93</v>
      </c>
      <c r="O19" s="49" t="s">
        <v>94</v>
      </c>
      <c r="P19" s="50" t="s">
        <v>95</v>
      </c>
    </row>
    <row r="20" spans="1:16" ht="12.75" customHeight="1" thickBot="1">
      <c r="A20" s="11" t="str">
        <f t="shared" si="0"/>
        <v>BAVM 193 </v>
      </c>
      <c r="B20" s="17" t="str">
        <f t="shared" si="1"/>
        <v>I</v>
      </c>
      <c r="C20" s="11">
        <f t="shared" si="2"/>
        <v>54360.5432</v>
      </c>
      <c r="D20" s="15" t="str">
        <f t="shared" si="3"/>
        <v>vis</v>
      </c>
      <c r="E20" s="46">
        <f>VLOOKUP(C20,A!C$21:E$971,3,FALSE)</f>
        <v>13140.064024252295</v>
      </c>
      <c r="F20" s="17" t="s">
        <v>56</v>
      </c>
      <c r="G20" s="15" t="str">
        <f t="shared" si="4"/>
        <v>54360.5432</v>
      </c>
      <c r="H20" s="11">
        <f t="shared" si="5"/>
        <v>13140</v>
      </c>
      <c r="I20" s="47" t="s">
        <v>99</v>
      </c>
      <c r="J20" s="48" t="s">
        <v>100</v>
      </c>
      <c r="K20" s="47">
        <v>13140</v>
      </c>
      <c r="L20" s="47" t="s">
        <v>101</v>
      </c>
      <c r="M20" s="48" t="s">
        <v>73</v>
      </c>
      <c r="N20" s="48" t="s">
        <v>102</v>
      </c>
      <c r="O20" s="49" t="s">
        <v>103</v>
      </c>
      <c r="P20" s="50" t="s">
        <v>104</v>
      </c>
    </row>
    <row r="21" spans="2:6" ht="12.75">
      <c r="B21" s="17"/>
      <c r="E21" s="46"/>
      <c r="F21" s="17"/>
    </row>
    <row r="22" spans="2:6" ht="12.75">
      <c r="B22" s="17"/>
      <c r="E22" s="46"/>
      <c r="F22" s="17"/>
    </row>
    <row r="23" spans="2:6" ht="12.75">
      <c r="B23" s="17"/>
      <c r="E23" s="46"/>
      <c r="F23" s="17"/>
    </row>
    <row r="24" spans="2:6" ht="12.75">
      <c r="B24" s="17"/>
      <c r="E24" s="46"/>
      <c r="F24" s="17"/>
    </row>
    <row r="25" spans="2:6" ht="12.75">
      <c r="B25" s="17"/>
      <c r="E25" s="46"/>
      <c r="F25" s="17"/>
    </row>
    <row r="26" spans="2:6" ht="12.75">
      <c r="B26" s="17"/>
      <c r="E26" s="46"/>
      <c r="F26" s="17"/>
    </row>
    <row r="27" spans="2:6" ht="12.75">
      <c r="B27" s="17"/>
      <c r="E27" s="46"/>
      <c r="F27" s="17"/>
    </row>
    <row r="28" spans="2:6" ht="12.75">
      <c r="B28" s="17"/>
      <c r="E28" s="46"/>
      <c r="F28" s="17"/>
    </row>
    <row r="29" spans="2:6" ht="12.75">
      <c r="B29" s="17"/>
      <c r="E29" s="46"/>
      <c r="F29" s="17"/>
    </row>
    <row r="30" spans="2:6" ht="12.75">
      <c r="B30" s="17"/>
      <c r="E30" s="46"/>
      <c r="F30" s="17"/>
    </row>
    <row r="31" spans="2:6" ht="12.75">
      <c r="B31" s="17"/>
      <c r="E31" s="46"/>
      <c r="F31" s="17"/>
    </row>
    <row r="32" spans="2:6" ht="12.75">
      <c r="B32" s="17"/>
      <c r="E32" s="46"/>
      <c r="F32" s="17"/>
    </row>
    <row r="33" spans="2:6" ht="12.75">
      <c r="B33" s="17"/>
      <c r="E33" s="46"/>
      <c r="F33" s="17"/>
    </row>
    <row r="34" spans="2:6" ht="12.75">
      <c r="B34" s="17"/>
      <c r="E34" s="46"/>
      <c r="F34" s="17"/>
    </row>
    <row r="35" spans="2:6" ht="12.75">
      <c r="B35" s="17"/>
      <c r="E35" s="46"/>
      <c r="F35" s="17"/>
    </row>
    <row r="36" spans="2:6" ht="12.75">
      <c r="B36" s="17"/>
      <c r="E36" s="46"/>
      <c r="F36" s="17"/>
    </row>
    <row r="37" spans="2:6" ht="12.75">
      <c r="B37" s="17"/>
      <c r="F37" s="17"/>
    </row>
    <row r="38" spans="2:6" ht="12.75">
      <c r="B38" s="17"/>
      <c r="F38" s="17"/>
    </row>
    <row r="39" spans="2:6" ht="12.75">
      <c r="B39" s="17"/>
      <c r="F39" s="17"/>
    </row>
    <row r="40" spans="2:6" ht="12.75">
      <c r="B40" s="17"/>
      <c r="F40" s="17"/>
    </row>
    <row r="41" spans="2:6" ht="12.75">
      <c r="B41" s="17"/>
      <c r="F41" s="17"/>
    </row>
    <row r="42" spans="2:6" ht="12.75">
      <c r="B42" s="17"/>
      <c r="F42" s="17"/>
    </row>
    <row r="43" spans="2:6" ht="12.75">
      <c r="B43" s="17"/>
      <c r="F43" s="17"/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  <row r="803" spans="2:6" ht="12.75">
      <c r="B803" s="17"/>
      <c r="F803" s="17"/>
    </row>
    <row r="804" spans="2:6" ht="12.75">
      <c r="B804" s="17"/>
      <c r="F804" s="17"/>
    </row>
    <row r="805" spans="2:6" ht="12.75">
      <c r="B805" s="17"/>
      <c r="F805" s="17"/>
    </row>
    <row r="806" spans="2:6" ht="12.75">
      <c r="B806" s="17"/>
      <c r="F806" s="17"/>
    </row>
    <row r="807" spans="2:6" ht="12.75">
      <c r="B807" s="17"/>
      <c r="F807" s="17"/>
    </row>
    <row r="808" spans="2:6" ht="12.75">
      <c r="B808" s="17"/>
      <c r="F808" s="17"/>
    </row>
    <row r="809" spans="2:6" ht="12.75">
      <c r="B809" s="17"/>
      <c r="F809" s="17"/>
    </row>
    <row r="810" spans="2:6" ht="12.75">
      <c r="B810" s="17"/>
      <c r="F810" s="17"/>
    </row>
    <row r="811" spans="2:6" ht="12.75">
      <c r="B811" s="17"/>
      <c r="F811" s="17"/>
    </row>
    <row r="812" spans="2:6" ht="12.75">
      <c r="B812" s="17"/>
      <c r="F812" s="17"/>
    </row>
    <row r="813" spans="2:6" ht="12.75">
      <c r="B813" s="17"/>
      <c r="F813" s="17"/>
    </row>
    <row r="814" spans="2:6" ht="12.75">
      <c r="B814" s="17"/>
      <c r="F814" s="17"/>
    </row>
    <row r="815" spans="2:6" ht="12.75">
      <c r="B815" s="17"/>
      <c r="F815" s="17"/>
    </row>
    <row r="816" spans="2:6" ht="12.75">
      <c r="B816" s="17"/>
      <c r="F816" s="17"/>
    </row>
    <row r="817" spans="2:6" ht="12.75">
      <c r="B817" s="17"/>
      <c r="F817" s="17"/>
    </row>
    <row r="818" spans="2:6" ht="12.75">
      <c r="B818" s="17"/>
      <c r="F818" s="17"/>
    </row>
    <row r="819" spans="2:6" ht="12.75">
      <c r="B819" s="17"/>
      <c r="F819" s="17"/>
    </row>
    <row r="820" spans="2:6" ht="12.75">
      <c r="B820" s="17"/>
      <c r="F820" s="17"/>
    </row>
    <row r="821" spans="2:6" ht="12.75">
      <c r="B821" s="17"/>
      <c r="F821" s="17"/>
    </row>
    <row r="822" spans="2:6" ht="12.75">
      <c r="B822" s="17"/>
      <c r="F822" s="17"/>
    </row>
    <row r="823" spans="2:6" ht="12.75">
      <c r="B823" s="17"/>
      <c r="F823" s="17"/>
    </row>
    <row r="824" spans="2:6" ht="12.75">
      <c r="B824" s="17"/>
      <c r="F824" s="17"/>
    </row>
  </sheetData>
  <sheetProtection/>
  <hyperlinks>
    <hyperlink ref="P11" r:id="rId1" display="http://www.konkoly.hu/cgi-bin/IBVS?4887"/>
    <hyperlink ref="P12" r:id="rId2" display="http://www.konkoly.hu/cgi-bin/IBVS?4888"/>
    <hyperlink ref="P13" r:id="rId3" display="http://var.astro.cz/oejv/issues/oejv0074.pdf"/>
    <hyperlink ref="P14" r:id="rId4" display="http://var.astro.cz/oejv/issues/oejv0074.pdf"/>
    <hyperlink ref="P15" r:id="rId5" display="http://www.konkoly.hu/cgi-bin/IBVS?5583"/>
    <hyperlink ref="P18" r:id="rId6" display="http://var.astro.cz/oejv/issues/oejv0107.pdf"/>
    <hyperlink ref="P19" r:id="rId7" display="http://var.astro.cz/oejv/issues/oejv0107.pdf"/>
    <hyperlink ref="P20" r:id="rId8" display="http://www.bav-astro.de/sfs/BAVM_link.php?BAVMnr=193"/>
    <hyperlink ref="P16" r:id="rId9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