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60" windowHeight="13245" activeTab="1"/>
  </bookViews>
  <sheets>
    <sheet name="Active 1" sheetId="1" r:id="rId1"/>
    <sheet name="Active 2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<sst xmlns="http://schemas.openxmlformats.org/spreadsheetml/2006/main" count="475" uniqueCount="220">
  <si>
    <t>IBVS 6244</t>
  </si>
  <si>
    <t>IBVS 6196</t>
  </si>
  <si>
    <t>0.0125</t>
  </si>
  <si>
    <t>Add cycle</t>
  </si>
  <si>
    <t>Old Cycle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</si>
  <si>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</si>
  <si>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</si>
  <si>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</si>
  <si>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</si>
  <si>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</si>
  <si>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</si>
  <si>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</si>
  <si>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</si>
  <si>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</si>
  <si>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</si>
  <si>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</si>
  <si>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</si>
  <si>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</si>
  <si>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</si>
  <si>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</si>
  <si>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</si>
  <si>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</si>
  <si>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</si>
  <si>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</si>
  <si>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</si>
  <si>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</si>
  <si>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</si>
  <si>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</si>
  <si>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</si>
  <si>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</si>
  <si>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I</t>
  </si>
  <si>
    <t>na</t>
  </si>
  <si>
    <t>Misc</t>
  </si>
  <si>
    <t>EA/sd</t>
  </si>
  <si>
    <t>BBSAG Bull.11</t>
  </si>
  <si>
    <t>BBSAG Bull.27</t>
  </si>
  <si>
    <t>BBSAG Bull.28</t>
  </si>
  <si>
    <t>BBSAG Bull.35</t>
  </si>
  <si>
    <t>BBSAG Bull.37</t>
  </si>
  <si>
    <t>BBSAG Bull.78</t>
  </si>
  <si>
    <t>BBSAG Bull.79</t>
  </si>
  <si>
    <t>BBSAG 79</t>
  </si>
  <si>
    <t>BRNO 30</t>
  </si>
  <si>
    <t>BBSAG Bull.86</t>
  </si>
  <si>
    <t>BBSAG Bull.98</t>
  </si>
  <si>
    <t>BRNO 31</t>
  </si>
  <si>
    <t>BBSAG Bull.105</t>
  </si>
  <si>
    <t>IBVS 4711</t>
  </si>
  <si>
    <t>IBVS 5583</t>
  </si>
  <si>
    <t>IBVS 0035</t>
  </si>
  <si>
    <t># of data points:</t>
  </si>
  <si>
    <t>AV Del / GSC 01093-01255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</si>
  <si>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</si>
  <si>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</si>
  <si>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</si>
  <si>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</si>
  <si>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</si>
  <si>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</si>
  <si>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</si>
  <si>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OEJV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</si>
  <si>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</si>
  <si>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</si>
  <si>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</si>
  <si>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</si>
  <si>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</si>
  <si>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</si>
  <si>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</si>
  <si>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</si>
  <si>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</si>
  <si>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</si>
  <si>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</si>
  <si>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</si>
  <si>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</si>
  <si>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2425921.292 </t>
  </si>
  <si>
    <t> 05.11.1929 19:00 </t>
  </si>
  <si>
    <t> -0.057 </t>
  </si>
  <si>
    <t>P </t>
  </si>
  <si>
    <t> A.Jensch </t>
  </si>
  <si>
    <t> KVBB 19.45 </t>
  </si>
  <si>
    <t>2426206.385 </t>
  </si>
  <si>
    <t> 17.08.1930 21:14 </t>
  </si>
  <si>
    <t> -0.118 </t>
  </si>
  <si>
    <t>2426545.486 </t>
  </si>
  <si>
    <t> 22.07.1931 23:39 </t>
  </si>
  <si>
    <t> -0.119 </t>
  </si>
  <si>
    <t>2427393.196 </t>
  </si>
  <si>
    <t> 16.11.1933 16:42 </t>
  </si>
  <si>
    <t> -0.164 </t>
  </si>
  <si>
    <t> S.Beljawski </t>
  </si>
  <si>
    <t> CPUL 15.39 </t>
  </si>
  <si>
    <t>2427624.469 </t>
  </si>
  <si>
    <t> 05.07.1934 23:15 </t>
  </si>
  <si>
    <t> -0.096 </t>
  </si>
  <si>
    <t>2427655.425 </t>
  </si>
  <si>
    <t> 05.08.1934 22:12 </t>
  </si>
  <si>
    <t> 0.032 </t>
  </si>
  <si>
    <t>2427713.297 </t>
  </si>
  <si>
    <t> 02.10.1934 19:07 </t>
  </si>
  <si>
    <t> 0.103 </t>
  </si>
  <si>
    <t>2438294.710 </t>
  </si>
  <si>
    <t> 22.09.1963 05:02 </t>
  </si>
  <si>
    <t>V </t>
  </si>
  <si>
    <t> K.Kordylewski </t>
  </si>
  <si>
    <t>IBVS 35 </t>
  </si>
  <si>
    <t>2441901.524 </t>
  </si>
  <si>
    <t> 07.08.1973 00:34 </t>
  </si>
  <si>
    <t> 0.001 </t>
  </si>
  <si>
    <t> K.Locher </t>
  </si>
  <si>
    <t> BBS 11 </t>
  </si>
  <si>
    <t>2442899.543 </t>
  </si>
  <si>
    <t> 01.05.1976 01:01 </t>
  </si>
  <si>
    <t> -0.019 </t>
  </si>
  <si>
    <t> BBS 27 </t>
  </si>
  <si>
    <t>2442953.515 </t>
  </si>
  <si>
    <t> 24.06.1976 00:21 </t>
  </si>
  <si>
    <t> 0.005 </t>
  </si>
  <si>
    <t> BBS 28 </t>
  </si>
  <si>
    <t>2443458.311 </t>
  </si>
  <si>
    <t> 10.11.1977 19:27 </t>
  </si>
  <si>
    <t> 0.002 </t>
  </si>
  <si>
    <t> H.Peter </t>
  </si>
  <si>
    <t> BBS 35 </t>
  </si>
  <si>
    <t>2443662.551 </t>
  </si>
  <si>
    <t> 03.06.1978 01:13 </t>
  </si>
  <si>
    <t> 0.010 </t>
  </si>
  <si>
    <t> BBS 37 </t>
  </si>
  <si>
    <t>2443689.515 </t>
  </si>
  <si>
    <t> 30.06.1978 00:21 </t>
  </si>
  <si>
    <t> 0.000 </t>
  </si>
  <si>
    <t>2446321.397 </t>
  </si>
  <si>
    <t> 12.09.1985 21:31 </t>
  </si>
  <si>
    <t> -0.011 </t>
  </si>
  <si>
    <t> BBS 78 </t>
  </si>
  <si>
    <t>2446348.386 </t>
  </si>
  <si>
    <t> 09.10.1985 21:15 </t>
  </si>
  <si>
    <t> 0.004 </t>
  </si>
  <si>
    <t> A.Paschke </t>
  </si>
  <si>
    <t> BBS 79 </t>
  </si>
  <si>
    <t>2447003.441 </t>
  </si>
  <si>
    <t> 26.07.1987 22:35 </t>
  </si>
  <si>
    <t> -0.024 </t>
  </si>
  <si>
    <t> J.Borovicka </t>
  </si>
  <si>
    <t> BRNO 30 </t>
  </si>
  <si>
    <t>2447003.465 </t>
  </si>
  <si>
    <t> 26.07.1987 23:09 </t>
  </si>
  <si>
    <t> V.Wagner </t>
  </si>
  <si>
    <t>2447030.426 </t>
  </si>
  <si>
    <t> 22.08.1987 22:13 </t>
  </si>
  <si>
    <t> -0.013 </t>
  </si>
  <si>
    <t> A.Slatinsky </t>
  </si>
  <si>
    <t>2447057.43 </t>
  </si>
  <si>
    <t> 18.09.1987 22:19 </t>
  </si>
  <si>
    <t> 0.02 </t>
  </si>
  <si>
    <t> BBS 86 </t>
  </si>
  <si>
    <t>2447762.590 </t>
  </si>
  <si>
    <t> 24.08.1989 02:09 </t>
  </si>
  <si>
    <t> -0.001 </t>
  </si>
  <si>
    <t> T.Brelstaff </t>
  </si>
  <si>
    <t> VSSC 73 </t>
  </si>
  <si>
    <t>2448448.502 </t>
  </si>
  <si>
    <t> 11.07.1991 00:02 </t>
  </si>
  <si>
    <t> BBS 98 </t>
  </si>
  <si>
    <t>2449211.450 </t>
  </si>
  <si>
    <t> 11.08.1993 22:48 </t>
  </si>
  <si>
    <t> -0.030 </t>
  </si>
  <si>
    <t> A.Dedoch </t>
  </si>
  <si>
    <t> BRNO 31 </t>
  </si>
  <si>
    <t>2449211.475 </t>
  </si>
  <si>
    <t> 11.08.1993 23:24 </t>
  </si>
  <si>
    <t> -0.005 </t>
  </si>
  <si>
    <t>E </t>
  </si>
  <si>
    <t>?</t>
  </si>
  <si>
    <t> BBS 105 </t>
  </si>
  <si>
    <t>2450683.4467 </t>
  </si>
  <si>
    <t> 22.08.1997 22:43 </t>
  </si>
  <si>
    <t> -0.0437 </t>
  </si>
  <si>
    <t> O.Bracek </t>
  </si>
  <si>
    <t> BRNO 32 </t>
  </si>
  <si>
    <t>2450683.4696 </t>
  </si>
  <si>
    <t> 22.08.1997 23:16 </t>
  </si>
  <si>
    <t> -0.0209 </t>
  </si>
  <si>
    <t> J.Cechal </t>
  </si>
  <si>
    <t>2450714.3478 </t>
  </si>
  <si>
    <t> 22.09.1997 20:20 </t>
  </si>
  <si>
    <t> 0.0299 </t>
  </si>
  <si>
    <t>o</t>
  </si>
  <si>
    <t> W.Kleikamp </t>
  </si>
  <si>
    <t>BAVM 117 </t>
  </si>
  <si>
    <t>2451400.278 </t>
  </si>
  <si>
    <t> 09.08.1999 18:40 </t>
  </si>
  <si>
    <t> 0.050 </t>
  </si>
  <si>
    <t> J.Mader et al. </t>
  </si>
  <si>
    <t> AJ 130,234-245 </t>
  </si>
  <si>
    <t>2451889.6472 </t>
  </si>
  <si>
    <t> 11.12.2000 03:31 </t>
  </si>
  <si>
    <t> 0.0332 </t>
  </si>
  <si>
    <t>2452105.4476 </t>
  </si>
  <si>
    <t> 14.07.2001 22:44 </t>
  </si>
  <si>
    <t> 0.0415 </t>
  </si>
  <si>
    <t> M.Zejda </t>
  </si>
  <si>
    <t>IBVS 5583 </t>
  </si>
  <si>
    <t>2452841.45063 </t>
  </si>
  <si>
    <t> 20.07.2003 22:48 </t>
  </si>
  <si>
    <t> 0.03938 </t>
  </si>
  <si>
    <t>C </t>
  </si>
  <si>
    <t> R.Ehrenberger </t>
  </si>
  <si>
    <t>OEJV 0074 </t>
  </si>
  <si>
    <t>2454313.4899 </t>
  </si>
  <si>
    <t> 31.07.2007 23:45 </t>
  </si>
  <si>
    <t> 0.0684 </t>
  </si>
  <si>
    <t>-I</t>
  </si>
  <si>
    <t> F.Agerer </t>
  </si>
  <si>
    <t>BAVM 193 </t>
  </si>
  <si>
    <t>2456864.4358 </t>
  </si>
  <si>
    <t> 25.07.2014 22:27 </t>
  </si>
  <si>
    <t>3419</t>
  </si>
  <si>
    <t> 0.0436 </t>
  </si>
  <si>
    <t>BAVM 238 </t>
  </si>
  <si>
    <t>BAD?</t>
  </si>
  <si>
    <t>rms dev'n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</si>
</sst>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12" fillId="0" borderId="0" xfId="62" applyFont="1" applyAlignment="1">
      <alignment horizontal="left"/>
      <protection/>
    </xf>
    <xf numFmtId="0" fontId="12" fillId="0" borderId="0" xfId="62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 Del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1'!$C$21:$C$1968</c:f>
                <c:numCache>
                  <c:ptCount val="947"/>
                  <c:pt idx="0">
                    <c:v>25921.292</c:v>
                  </c:pt>
                  <c:pt idx="1">
                    <c:v>26206.385</c:v>
                  </c:pt>
                  <c:pt idx="2">
                    <c:v>26545.486</c:v>
                  </c:pt>
                  <c:pt idx="3">
                    <c:v>27393.196</c:v>
                  </c:pt>
                  <c:pt idx="4">
                    <c:v>27624.469</c:v>
                  </c:pt>
                  <c:pt idx="5">
                    <c:v>27655.425</c:v>
                  </c:pt>
                  <c:pt idx="6">
                    <c:v>27713.297</c:v>
                  </c:pt>
                  <c:pt idx="7">
                    <c:v>38294.71</c:v>
                  </c:pt>
                  <c:pt idx="8">
                    <c:v>41901.524</c:v>
                  </c:pt>
                  <c:pt idx="9">
                    <c:v>42899.543</c:v>
                  </c:pt>
                  <c:pt idx="10">
                    <c:v>42953.515</c:v>
                  </c:pt>
                  <c:pt idx="11">
                    <c:v>43458.311</c:v>
                  </c:pt>
                  <c:pt idx="12">
                    <c:v>43662.551</c:v>
                  </c:pt>
                  <c:pt idx="13">
                    <c:v>43689.515</c:v>
                  </c:pt>
                  <c:pt idx="14">
                    <c:v>46321.397</c:v>
                  </c:pt>
                  <c:pt idx="15">
                    <c:v>46348.384</c:v>
                  </c:pt>
                  <c:pt idx="16">
                    <c:v>46348.386</c:v>
                  </c:pt>
                  <c:pt idx="17">
                    <c:v>47003.441</c:v>
                  </c:pt>
                  <c:pt idx="18">
                    <c:v>47003.465</c:v>
                  </c:pt>
                  <c:pt idx="19">
                    <c:v>47030.426</c:v>
                  </c:pt>
                  <c:pt idx="20">
                    <c:v>47057.43</c:v>
                  </c:pt>
                  <c:pt idx="21">
                    <c:v>47762.59</c:v>
                  </c:pt>
                  <c:pt idx="22">
                    <c:v>48448.502</c:v>
                  </c:pt>
                  <c:pt idx="23">
                    <c:v>49211.45</c:v>
                  </c:pt>
                  <c:pt idx="24">
                    <c:v>49211.475</c:v>
                  </c:pt>
                  <c:pt idx="25">
                    <c:v>50683.4467</c:v>
                  </c:pt>
                  <c:pt idx="26">
                    <c:v>50683.4696</c:v>
                  </c:pt>
                  <c:pt idx="27">
                    <c:v>50714.3478</c:v>
                  </c:pt>
                  <c:pt idx="28">
                    <c:v>51400.278</c:v>
                  </c:pt>
                  <c:pt idx="29">
                    <c:v>51889.6472</c:v>
                  </c:pt>
                  <c:pt idx="30">
                    <c:v>52105.4476</c:v>
                  </c:pt>
                  <c:pt idx="31">
                    <c:v>52841.45063</c:v>
                  </c:pt>
                  <c:pt idx="32">
                    <c:v>54313.4899</c:v>
                  </c:pt>
                  <c:pt idx="33">
                    <c:v>56864.4358</c:v>
                  </c:pt>
                  <c:pt idx="34">
                    <c:v>57257.4764</c:v>
                  </c:pt>
                  <c:pt idx="35">
                    <c:v>57966.4865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</c:numCache>
              </c:numRef>
            </c:plus>
            <c:minus>
              <c:numRef>
                <c:f>'Active 1'!$C$21:$C$1968</c:f>
                <c:numCache>
                  <c:ptCount val="947"/>
                  <c:pt idx="0">
                    <c:v>25921.292</c:v>
                  </c:pt>
                  <c:pt idx="1">
                    <c:v>26206.385</c:v>
                  </c:pt>
                  <c:pt idx="2">
                    <c:v>26545.486</c:v>
                  </c:pt>
                  <c:pt idx="3">
                    <c:v>27393.196</c:v>
                  </c:pt>
                  <c:pt idx="4">
                    <c:v>27624.469</c:v>
                  </c:pt>
                  <c:pt idx="5">
                    <c:v>27655.425</c:v>
                  </c:pt>
                  <c:pt idx="6">
                    <c:v>27713.297</c:v>
                  </c:pt>
                  <c:pt idx="7">
                    <c:v>38294.71</c:v>
                  </c:pt>
                  <c:pt idx="8">
                    <c:v>41901.524</c:v>
                  </c:pt>
                  <c:pt idx="9">
                    <c:v>42899.543</c:v>
                  </c:pt>
                  <c:pt idx="10">
                    <c:v>42953.515</c:v>
                  </c:pt>
                  <c:pt idx="11">
                    <c:v>43458.311</c:v>
                  </c:pt>
                  <c:pt idx="12">
                    <c:v>43662.551</c:v>
                  </c:pt>
                  <c:pt idx="13">
                    <c:v>43689.515</c:v>
                  </c:pt>
                  <c:pt idx="14">
                    <c:v>46321.397</c:v>
                  </c:pt>
                  <c:pt idx="15">
                    <c:v>46348.384</c:v>
                  </c:pt>
                  <c:pt idx="16">
                    <c:v>46348.386</c:v>
                  </c:pt>
                  <c:pt idx="17">
                    <c:v>47003.441</c:v>
                  </c:pt>
                  <c:pt idx="18">
                    <c:v>47003.465</c:v>
                  </c:pt>
                  <c:pt idx="19">
                    <c:v>47030.426</c:v>
                  </c:pt>
                  <c:pt idx="20">
                    <c:v>47057.43</c:v>
                  </c:pt>
                  <c:pt idx="21">
                    <c:v>47762.59</c:v>
                  </c:pt>
                  <c:pt idx="22">
                    <c:v>48448.502</c:v>
                  </c:pt>
                  <c:pt idx="23">
                    <c:v>49211.45</c:v>
                  </c:pt>
                  <c:pt idx="24">
                    <c:v>49211.475</c:v>
                  </c:pt>
                  <c:pt idx="25">
                    <c:v>50683.4467</c:v>
                  </c:pt>
                  <c:pt idx="26">
                    <c:v>50683.4696</c:v>
                  </c:pt>
                  <c:pt idx="27">
                    <c:v>50714.3478</c:v>
                  </c:pt>
                  <c:pt idx="28">
                    <c:v>51400.278</c:v>
                  </c:pt>
                  <c:pt idx="29">
                    <c:v>51889.6472</c:v>
                  </c:pt>
                  <c:pt idx="30">
                    <c:v>52105.4476</c:v>
                  </c:pt>
                  <c:pt idx="31">
                    <c:v>52841.45063</c:v>
                  </c:pt>
                  <c:pt idx="32">
                    <c:v>54313.4899</c:v>
                  </c:pt>
                  <c:pt idx="33">
                    <c:v>56864.4358</c:v>
                  </c:pt>
                  <c:pt idx="34">
                    <c:v>57257.4764</c:v>
                  </c:pt>
                  <c:pt idx="35">
                    <c:v>57966.4865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1'!$F$21:$F$967</c:f>
              <c:numCache/>
            </c:numRef>
          </c:xVal>
          <c:yVal>
            <c:numRef>
              <c:f>'Active 1'!$H$21:$H$967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1'!$D$21:$D$86</c:f>
                <c:numCach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0.006</c:v>
                  </c:pt>
                  <c:pt idx="23">
                    <c:v>NaN</c:v>
                  </c:pt>
                  <c:pt idx="24">
                    <c:v>0.008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0.0029</c:v>
                  </c:pt>
                  <c:pt idx="32">
                    <c:v>0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0.0011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</c:numCache>
              </c:numRef>
            </c:plus>
            <c:minus>
              <c:numRef>
                <c:f>'Active 1'!$D$21:$D$86</c:f>
                <c:numCach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0.006</c:v>
                  </c:pt>
                  <c:pt idx="23">
                    <c:v>NaN</c:v>
                  </c:pt>
                  <c:pt idx="24">
                    <c:v>0.008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0.0029</c:v>
                  </c:pt>
                  <c:pt idx="32">
                    <c:v>0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0.0011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1'!$F$21:$F$967</c:f>
              <c:numCache/>
            </c:numRef>
          </c:xVal>
          <c:yVal>
            <c:numRef>
              <c:f>'Active 1'!$I$21:$I$967</c:f>
              <c:numCache/>
            </c:numRef>
          </c:yVal>
          <c:smooth val="0"/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1'!$D$21:$D$21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1'!$F$21:$F$967</c:f>
              <c:numCache/>
            </c:numRef>
          </c:xVal>
          <c:yVal>
            <c:numRef>
              <c:f>'Active 1'!$J$21:$J$967</c:f>
              <c:numCache/>
            </c:numRef>
          </c:yVal>
          <c:smooth val="0"/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1'!$F$21:$F$967</c:f>
              <c:numCache/>
            </c:numRef>
          </c:xVal>
          <c:yVal>
            <c:numRef>
              <c:f>'Active 1'!$K$21:$K$967</c:f>
              <c:numCache/>
            </c:numRef>
          </c:yVal>
          <c:smooth val="0"/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1'!$F$21:$F$967</c:f>
              <c:numCache/>
            </c:numRef>
          </c:xVal>
          <c:yVal>
            <c:numRef>
              <c:f>'Active 1'!$L$21:$L$967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1'!$F$21:$F$967</c:f>
              <c:numCache/>
            </c:numRef>
          </c:xVal>
          <c:yVal>
            <c:numRef>
              <c:f>'Active 1'!$M$21:$M$967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1'!$F$21:$F$967</c:f>
              <c:numCache/>
            </c:numRef>
          </c:xVal>
          <c:yVal>
            <c:numRef>
              <c:f>'Active 1'!$N$21:$N$967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1'!$F$21:$F$967</c:f>
              <c:numCache/>
            </c:numRef>
          </c:xVal>
          <c:yVal>
            <c:numRef>
              <c:f>'Active 1'!$O$21:$O$967</c:f>
              <c:numCache/>
            </c:numRef>
          </c:yVal>
          <c:smooth val="0"/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1'!$F$21:$F$300</c:f>
              <c:numCache/>
            </c:numRef>
          </c:xVal>
          <c:yVal>
            <c:numRef>
              <c:f>'Active 1'!$U$21:$U$300</c:f>
              <c:numCache/>
            </c:numRef>
          </c:yVal>
          <c:smooth val="0"/>
        </c:ser>
        <c:axId val="7860097"/>
        <c:axId val="3632010"/>
      </c:scatterChart>
      <c:valAx>
        <c:axId val="786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2010"/>
        <c:crosses val="autoZero"/>
        <c:crossBetween val="midCat"/>
        <c:dispUnits/>
      </c:valAx>
      <c:valAx>
        <c:axId val="3632010"/>
        <c:scaling>
          <c:orientation val="minMax"/>
          <c:max val="0.1"/>
          <c:min val="-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00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31"/>
          <c:w val="0.8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 Del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2'!$C$21:$C$1968</c:f>
                <c:numCache>
                  <c:ptCount val="947"/>
                  <c:pt idx="0">
                    <c:v>25921.292</c:v>
                  </c:pt>
                  <c:pt idx="1">
                    <c:v>26206.385</c:v>
                  </c:pt>
                  <c:pt idx="2">
                    <c:v>26545.486</c:v>
                  </c:pt>
                  <c:pt idx="3">
                    <c:v>27393.196</c:v>
                  </c:pt>
                  <c:pt idx="4">
                    <c:v>27624.469</c:v>
                  </c:pt>
                  <c:pt idx="5">
                    <c:v>27655.425</c:v>
                  </c:pt>
                  <c:pt idx="6">
                    <c:v>27713.297</c:v>
                  </c:pt>
                  <c:pt idx="7">
                    <c:v>38294.71</c:v>
                  </c:pt>
                  <c:pt idx="8">
                    <c:v>41901.524</c:v>
                  </c:pt>
                  <c:pt idx="9">
                    <c:v>42899.543</c:v>
                  </c:pt>
                  <c:pt idx="10">
                    <c:v>42953.515</c:v>
                  </c:pt>
                  <c:pt idx="11">
                    <c:v>43458.311</c:v>
                  </c:pt>
                  <c:pt idx="12">
                    <c:v>43662.551</c:v>
                  </c:pt>
                  <c:pt idx="13">
                    <c:v>43689.515</c:v>
                  </c:pt>
                  <c:pt idx="14">
                    <c:v>46321.397</c:v>
                  </c:pt>
                  <c:pt idx="15">
                    <c:v>46348.384</c:v>
                  </c:pt>
                  <c:pt idx="16">
                    <c:v>46348.386</c:v>
                  </c:pt>
                  <c:pt idx="17">
                    <c:v>47003.441</c:v>
                  </c:pt>
                  <c:pt idx="18">
                    <c:v>47003.465</c:v>
                  </c:pt>
                  <c:pt idx="19">
                    <c:v>47030.426</c:v>
                  </c:pt>
                  <c:pt idx="20">
                    <c:v>47057.43</c:v>
                  </c:pt>
                  <c:pt idx="21">
                    <c:v>47762.59</c:v>
                  </c:pt>
                  <c:pt idx="22">
                    <c:v>48448.502</c:v>
                  </c:pt>
                  <c:pt idx="23">
                    <c:v>49211.45</c:v>
                  </c:pt>
                  <c:pt idx="24">
                    <c:v>49211.475</c:v>
                  </c:pt>
                  <c:pt idx="25">
                    <c:v>50683.4467</c:v>
                  </c:pt>
                  <c:pt idx="26">
                    <c:v>50683.4696</c:v>
                  </c:pt>
                  <c:pt idx="27">
                    <c:v>50714.3478</c:v>
                  </c:pt>
                  <c:pt idx="28">
                    <c:v>51400.278</c:v>
                  </c:pt>
                  <c:pt idx="29">
                    <c:v>51889.6472</c:v>
                  </c:pt>
                  <c:pt idx="30">
                    <c:v>52105.4476</c:v>
                  </c:pt>
                  <c:pt idx="31">
                    <c:v>52841.45063</c:v>
                  </c:pt>
                  <c:pt idx="32">
                    <c:v>54313.4899</c:v>
                  </c:pt>
                  <c:pt idx="33">
                    <c:v>56864.4358</c:v>
                  </c:pt>
                  <c:pt idx="34">
                    <c:v>57257.4764</c:v>
                  </c:pt>
                  <c:pt idx="35">
                    <c:v>57966.4865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</c:numCache>
              </c:numRef>
            </c:plus>
            <c:minus>
              <c:numRef>
                <c:f>'Active 2'!$C$21:$C$1968</c:f>
                <c:numCache>
                  <c:ptCount val="947"/>
                  <c:pt idx="0">
                    <c:v>25921.292</c:v>
                  </c:pt>
                  <c:pt idx="1">
                    <c:v>26206.385</c:v>
                  </c:pt>
                  <c:pt idx="2">
                    <c:v>26545.486</c:v>
                  </c:pt>
                  <c:pt idx="3">
                    <c:v>27393.196</c:v>
                  </c:pt>
                  <c:pt idx="4">
                    <c:v>27624.469</c:v>
                  </c:pt>
                  <c:pt idx="5">
                    <c:v>27655.425</c:v>
                  </c:pt>
                  <c:pt idx="6">
                    <c:v>27713.297</c:v>
                  </c:pt>
                  <c:pt idx="7">
                    <c:v>38294.71</c:v>
                  </c:pt>
                  <c:pt idx="8">
                    <c:v>41901.524</c:v>
                  </c:pt>
                  <c:pt idx="9">
                    <c:v>42899.543</c:v>
                  </c:pt>
                  <c:pt idx="10">
                    <c:v>42953.515</c:v>
                  </c:pt>
                  <c:pt idx="11">
                    <c:v>43458.311</c:v>
                  </c:pt>
                  <c:pt idx="12">
                    <c:v>43662.551</c:v>
                  </c:pt>
                  <c:pt idx="13">
                    <c:v>43689.515</c:v>
                  </c:pt>
                  <c:pt idx="14">
                    <c:v>46321.397</c:v>
                  </c:pt>
                  <c:pt idx="15">
                    <c:v>46348.384</c:v>
                  </c:pt>
                  <c:pt idx="16">
                    <c:v>46348.386</c:v>
                  </c:pt>
                  <c:pt idx="17">
                    <c:v>47003.441</c:v>
                  </c:pt>
                  <c:pt idx="18">
                    <c:v>47003.465</c:v>
                  </c:pt>
                  <c:pt idx="19">
                    <c:v>47030.426</c:v>
                  </c:pt>
                  <c:pt idx="20">
                    <c:v>47057.43</c:v>
                  </c:pt>
                  <c:pt idx="21">
                    <c:v>47762.59</c:v>
                  </c:pt>
                  <c:pt idx="22">
                    <c:v>48448.502</c:v>
                  </c:pt>
                  <c:pt idx="23">
                    <c:v>49211.45</c:v>
                  </c:pt>
                  <c:pt idx="24">
                    <c:v>49211.475</c:v>
                  </c:pt>
                  <c:pt idx="25">
                    <c:v>50683.4467</c:v>
                  </c:pt>
                  <c:pt idx="26">
                    <c:v>50683.4696</c:v>
                  </c:pt>
                  <c:pt idx="27">
                    <c:v>50714.3478</c:v>
                  </c:pt>
                  <c:pt idx="28">
                    <c:v>51400.278</c:v>
                  </c:pt>
                  <c:pt idx="29">
                    <c:v>51889.6472</c:v>
                  </c:pt>
                  <c:pt idx="30">
                    <c:v>52105.4476</c:v>
                  </c:pt>
                  <c:pt idx="31">
                    <c:v>52841.45063</c:v>
                  </c:pt>
                  <c:pt idx="32">
                    <c:v>54313.4899</c:v>
                  </c:pt>
                  <c:pt idx="33">
                    <c:v>56864.4358</c:v>
                  </c:pt>
                  <c:pt idx="34">
                    <c:v>57257.4764</c:v>
                  </c:pt>
                  <c:pt idx="35">
                    <c:v>57966.4865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2'!$F$21:$F$967</c:f>
              <c:numCache/>
            </c:numRef>
          </c:xVal>
          <c:yVal>
            <c:numRef>
              <c:f>'Active 2'!$H$21:$H$967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2'!$D$21:$D$86</c:f>
                <c:numCach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0.006</c:v>
                  </c:pt>
                  <c:pt idx="23">
                    <c:v>NaN</c:v>
                  </c:pt>
                  <c:pt idx="24">
                    <c:v>0.008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0.0029</c:v>
                  </c:pt>
                  <c:pt idx="32">
                    <c:v>0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0.0011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</c:numCache>
              </c:numRef>
            </c:plus>
            <c:minus>
              <c:numRef>
                <c:f>'Active 2'!$D$21:$D$86</c:f>
                <c:numCache>
                  <c:ptCount val="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0.006</c:v>
                  </c:pt>
                  <c:pt idx="23">
                    <c:v>NaN</c:v>
                  </c:pt>
                  <c:pt idx="24">
                    <c:v>0.008</c:v>
                  </c:pt>
                  <c:pt idx="25">
                    <c:v>0</c:v>
                  </c:pt>
                  <c:pt idx="26">
                    <c:v>0</c:v>
                  </c:pt>
                  <c:pt idx="27">
                    <c:v>0.0003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0.0029</c:v>
                  </c:pt>
                  <c:pt idx="32">
                    <c:v>0</c:v>
                  </c:pt>
                  <c:pt idx="33">
                    <c:v>0.001</c:v>
                  </c:pt>
                  <c:pt idx="34">
                    <c:v>0</c:v>
                  </c:pt>
                  <c:pt idx="35">
                    <c:v>0.0011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2'!$F$21:$F$967</c:f>
              <c:numCache/>
            </c:numRef>
          </c:xVal>
          <c:yVal>
            <c:numRef>
              <c:f>'Active 2'!$I$21:$I$967</c:f>
              <c:numCache/>
            </c:numRef>
          </c:yVal>
          <c:smooth val="0"/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2'!$D$21:$D$21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2'!$D$21:$D$21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2'!$F$21:$F$967</c:f>
              <c:numCache/>
            </c:numRef>
          </c:xVal>
          <c:yVal>
            <c:numRef>
              <c:f>'Active 2'!$J$21:$J$967</c:f>
              <c:numCache/>
            </c:numRef>
          </c:yVal>
          <c:smooth val="0"/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2'!$F$21:$F$967</c:f>
              <c:numCache/>
            </c:numRef>
          </c:xVal>
          <c:yVal>
            <c:numRef>
              <c:f>'Active 2'!$K$21:$K$967</c:f>
              <c:numCache/>
            </c:numRef>
          </c:yVal>
          <c:smooth val="0"/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2'!$F$21:$F$967</c:f>
              <c:numCache/>
            </c:numRef>
          </c:xVal>
          <c:yVal>
            <c:numRef>
              <c:f>'Active 2'!$L$21:$L$967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2'!$F$21:$F$967</c:f>
              <c:numCache/>
            </c:numRef>
          </c:xVal>
          <c:yVal>
            <c:numRef>
              <c:f>'Active 2'!$M$21:$M$967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2'!$F$21:$F$967</c:f>
              <c:numCache/>
            </c:numRef>
          </c:xVal>
          <c:yVal>
            <c:numRef>
              <c:f>'Active 2'!$N$21:$N$967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2'!$F$21:$F$967</c:f>
              <c:numCache/>
            </c:numRef>
          </c:xVal>
          <c:yVal>
            <c:numRef>
              <c:f>'Active 2'!$O$21:$O$967</c:f>
              <c:numCache/>
            </c:numRef>
          </c:yVal>
          <c:smooth val="0"/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2'!$F$21:$F$300</c:f>
              <c:numCache/>
            </c:numRef>
          </c:xVal>
          <c:yVal>
            <c:numRef>
              <c:f>'Active 2'!$U$21:$U$300</c:f>
              <c:numCache/>
            </c:numRef>
          </c:yVal>
          <c:smooth val="0"/>
        </c:ser>
        <c:axId val="32688091"/>
        <c:axId val="25757364"/>
      </c:scatterChart>
      <c:valAx>
        <c:axId val="32688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7364"/>
        <c:crosses val="autoZero"/>
        <c:crossBetween val="midCat"/>
        <c:dispUnits/>
      </c:valAx>
      <c:valAx>
        <c:axId val="25757364"/>
        <c:scaling>
          <c:orientation val="minMax"/>
          <c:max val="0.6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80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1"/>
          <c:w val="0.8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6247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6247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s://www.aavso.org/ejaavso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vsolj.cetus-net.org/bulletin.html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s://www.aavso.org/ejaavso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vsolj.cetus-net.org/bulletin.html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35" TargetMode="External" /><Relationship Id="rId2" Type="http://schemas.openxmlformats.org/officeDocument/2006/relationships/hyperlink" Target="http://www.bav-astro.de/sfs/BAVM_link.php?BAVMnr=117" TargetMode="External" /><Relationship Id="rId3" Type="http://schemas.openxmlformats.org/officeDocument/2006/relationships/hyperlink" Target="http://www.konkoly.hu/cgi-bin/IBVS?5583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bav-astro.de/sfs/BAVM_link.php?BAVMnr=193" TargetMode="External" /><Relationship Id="rId6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56"/>
  <sheetViews>
    <sheetView zoomScalePageLayoutView="0" workbookViewId="0" topLeftCell="A1">
      <pane xSplit="14" ySplit="21" topLeftCell="O22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D7" sqref="D7"/>
    </sheetView>
  </sheetViews>
  <sheetFormatPr defaultColWidth="10.28125" defaultRowHeight="12.75"/>
  <cols>
    <col min="1" max="1" width="14.421875" style="0" customWidth="1"/>
    <col min="2" max="2" width="5.140625" style="17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2" ht="12.75">
      <c r="A2" t="s">
        <v>28</v>
      </c>
      <c r="B2" s="17" t="s">
        <v>33</v>
      </c>
    </row>
    <row r="3" ht="13.5" thickBot="1">
      <c r="C3" s="11"/>
    </row>
    <row r="4" spans="1:4" ht="14.25" thickBot="1" thickTop="1">
      <c r="A4" s="4" t="s">
        <v>5</v>
      </c>
      <c r="C4" s="9">
        <v>43689.515</v>
      </c>
      <c r="D4" s="10">
        <v>3.85343</v>
      </c>
    </row>
    <row r="5" spans="1:4" ht="13.5" thickTop="1">
      <c r="A5" s="14" t="s">
        <v>52</v>
      </c>
      <c r="B5" s="53"/>
      <c r="C5" s="16">
        <v>-9.5</v>
      </c>
      <c r="D5" s="15" t="s">
        <v>53</v>
      </c>
    </row>
    <row r="6" ht="12.75">
      <c r="A6" s="4" t="s">
        <v>6</v>
      </c>
    </row>
    <row r="7" spans="1:3" ht="12.75">
      <c r="A7" t="s">
        <v>7</v>
      </c>
      <c r="C7">
        <f>+C4</f>
        <v>43689.515</v>
      </c>
    </row>
    <row r="8" spans="1:3" ht="12.75">
      <c r="A8" t="s">
        <v>8</v>
      </c>
      <c r="C8">
        <f>+D4</f>
        <v>3.85343</v>
      </c>
    </row>
    <row r="9" spans="1:4" ht="12.75">
      <c r="A9" s="33" t="s">
        <v>57</v>
      </c>
      <c r="B9" s="34">
        <v>48</v>
      </c>
      <c r="C9" s="31" t="str">
        <f>"F"&amp;B9</f>
        <v>F48</v>
      </c>
      <c r="D9" s="32" t="str">
        <f>"G"&amp;B9</f>
        <v>G48</v>
      </c>
    </row>
    <row r="10" spans="1:5" ht="13.5" thickBot="1">
      <c r="A10" s="15"/>
      <c r="B10" s="53"/>
      <c r="C10" s="3" t="s">
        <v>24</v>
      </c>
      <c r="D10" s="3" t="s">
        <v>25</v>
      </c>
      <c r="E10" s="15"/>
    </row>
    <row r="11" spans="1:5" ht="12.75">
      <c r="A11" s="15" t="s">
        <v>20</v>
      </c>
      <c r="B11" s="53"/>
      <c r="C11" s="30">
        <f ca="1">INTERCEPT(INDIRECT($D$9):G992,INDIRECT($C$9):F992)</f>
        <v>0.05332629666715673</v>
      </c>
      <c r="D11" s="17"/>
      <c r="E11" s="15"/>
    </row>
    <row r="12" spans="1:5" ht="12.75">
      <c r="A12" s="15" t="s">
        <v>21</v>
      </c>
      <c r="B12" s="53"/>
      <c r="C12" s="30">
        <f ca="1">SLOPE(INDIRECT($D$9):G992,INDIRECT($C$9):F992)</f>
        <v>-5.298234014987812E-06</v>
      </c>
      <c r="D12" s="17"/>
      <c r="E12" s="15"/>
    </row>
    <row r="13" spans="1:3" ht="12.75">
      <c r="A13" s="15" t="s">
        <v>23</v>
      </c>
      <c r="B13" s="53"/>
      <c r="C13" s="17" t="s">
        <v>31</v>
      </c>
    </row>
    <row r="14" spans="1:3" ht="12.75">
      <c r="A14" s="15"/>
      <c r="B14" s="53"/>
      <c r="C14" s="15"/>
    </row>
    <row r="15" spans="1:6" ht="12.75">
      <c r="A15" s="18" t="s">
        <v>22</v>
      </c>
      <c r="B15" s="53"/>
      <c r="C15" s="19">
        <f>(C7+C11)+(C8+C12)*INT(MAX(F21:F3533))</f>
        <v>57966.50684633964</v>
      </c>
      <c r="E15" s="20" t="s">
        <v>3</v>
      </c>
      <c r="F15" s="61">
        <v>1</v>
      </c>
    </row>
    <row r="16" spans="1:6" ht="12.75">
      <c r="A16" s="22" t="s">
        <v>9</v>
      </c>
      <c r="B16" s="53"/>
      <c r="C16" s="23">
        <f>+C8+C12</f>
        <v>3.853424701765985</v>
      </c>
      <c r="E16" s="20" t="s">
        <v>54</v>
      </c>
      <c r="F16" s="62">
        <f ca="1">NOW()+15018.5+$C$5/24</f>
        <v>59897.74988148148</v>
      </c>
    </row>
    <row r="17" spans="1:6" ht="13.5" thickBot="1">
      <c r="A17" s="20" t="s">
        <v>50</v>
      </c>
      <c r="B17" s="53"/>
      <c r="C17" s="15">
        <f>COUNT(C21:C2191)</f>
        <v>36</v>
      </c>
      <c r="E17" s="20" t="s">
        <v>4</v>
      </c>
      <c r="F17" s="21">
        <f>ROUND(2*(F16-$C$7)/$C$8,0)/2+F15</f>
        <v>4207</v>
      </c>
    </row>
    <row r="18" spans="1:18" ht="14.25" thickBot="1" thickTop="1">
      <c r="A18" s="22" t="s">
        <v>10</v>
      </c>
      <c r="B18" s="53"/>
      <c r="C18" s="25">
        <f>+C15</f>
        <v>57966.50684633964</v>
      </c>
      <c r="D18" s="26">
        <f>+C16</f>
        <v>3.853424701765985</v>
      </c>
      <c r="E18" s="20" t="s">
        <v>55</v>
      </c>
      <c r="F18" s="32">
        <f>ROUND(2*(F16-$C$15)/$C$16,0)/2+F15</f>
        <v>502</v>
      </c>
      <c r="R18">
        <f>SQRT(SUM(R21:R75)/COUNT(R21:R75))</f>
        <v>0.08251350303285471</v>
      </c>
    </row>
    <row r="19" spans="5:6" ht="13.5" thickTop="1">
      <c r="E19" s="20" t="s">
        <v>56</v>
      </c>
      <c r="F19" s="24">
        <f>+$C$15+$C$16*F18-15018.5-$C$5/24</f>
        <v>44882.8218799595</v>
      </c>
    </row>
    <row r="20" spans="1:21" ht="13.5" thickBot="1">
      <c r="A20" s="3" t="s">
        <v>11</v>
      </c>
      <c r="B20" s="3" t="s">
        <v>12</v>
      </c>
      <c r="C20" s="3" t="s">
        <v>13</v>
      </c>
      <c r="D20" s="3" t="s">
        <v>18</v>
      </c>
      <c r="E20" s="3" t="s">
        <v>14</v>
      </c>
      <c r="F20" s="3" t="s">
        <v>15</v>
      </c>
      <c r="G20" s="3" t="s">
        <v>16</v>
      </c>
      <c r="H20" s="6" t="s">
        <v>68</v>
      </c>
      <c r="I20" s="6" t="s">
        <v>71</v>
      </c>
      <c r="J20" s="6" t="s">
        <v>65</v>
      </c>
      <c r="K20" s="6" t="s">
        <v>63</v>
      </c>
      <c r="L20" s="6" t="s">
        <v>59</v>
      </c>
      <c r="M20" s="6" t="s">
        <v>29</v>
      </c>
      <c r="N20" s="6" t="s">
        <v>32</v>
      </c>
      <c r="O20" s="6" t="s">
        <v>27</v>
      </c>
      <c r="P20" s="5" t="s">
        <v>26</v>
      </c>
      <c r="Q20" s="3" t="s">
        <v>19</v>
      </c>
      <c r="U20" s="55" t="s">
        <v>218</v>
      </c>
    </row>
    <row r="21" spans="1:18" ht="12.75">
      <c r="A21" s="52" t="s">
        <v>78</v>
      </c>
      <c r="B21" s="54" t="s">
        <v>30</v>
      </c>
      <c r="C21" s="52">
        <v>25921.292</v>
      </c>
      <c r="D21" s="52" t="s">
        <v>71</v>
      </c>
      <c r="E21">
        <f aca="true" t="shared" si="0" ref="E21:E54">+(C21-C$7)/C$8</f>
        <v>-4611.014862083909</v>
      </c>
      <c r="F21">
        <f aca="true" t="shared" si="1" ref="F21:F56">ROUND(2*E21,0)/2</f>
        <v>-4611</v>
      </c>
      <c r="G21">
        <f aca="true" t="shared" si="2" ref="G21:G45">+C21-(C$7+F21*C$8)</f>
        <v>-0.0572699999975157</v>
      </c>
      <c r="I21">
        <f aca="true" t="shared" si="3" ref="I21:I33">+G21</f>
        <v>-0.0572699999975157</v>
      </c>
      <c r="O21">
        <f aca="true" t="shared" si="4" ref="O21:O54">+C$11+C$12*$F21</f>
        <v>0.07775645371026553</v>
      </c>
      <c r="Q21" s="2">
        <f aca="true" t="shared" si="5" ref="Q21:Q54">+C21-15018.5</f>
        <v>10902.792000000001</v>
      </c>
      <c r="R21">
        <f>(O21-G21)^2</f>
        <v>0.018232143200899584</v>
      </c>
    </row>
    <row r="22" spans="1:18" ht="12.75">
      <c r="A22" s="52" t="s">
        <v>78</v>
      </c>
      <c r="B22" s="54" t="s">
        <v>30</v>
      </c>
      <c r="C22" s="52">
        <v>26206.385</v>
      </c>
      <c r="D22" s="52" t="s">
        <v>71</v>
      </c>
      <c r="E22">
        <f t="shared" si="0"/>
        <v>-4537.030645424986</v>
      </c>
      <c r="F22">
        <f t="shared" si="1"/>
        <v>-4537</v>
      </c>
      <c r="G22">
        <f t="shared" si="2"/>
        <v>-0.1180899999999383</v>
      </c>
      <c r="I22">
        <f t="shared" si="3"/>
        <v>-0.1180899999999383</v>
      </c>
      <c r="O22">
        <f t="shared" si="4"/>
        <v>0.07736438439315643</v>
      </c>
      <c r="Q22" s="2">
        <f t="shared" si="5"/>
        <v>11187.884999999998</v>
      </c>
      <c r="R22">
        <f aca="true" t="shared" si="6" ref="R22:R54">(O22-G22)^2</f>
        <v>0.038202416378483636</v>
      </c>
    </row>
    <row r="23" spans="1:18" ht="12.75">
      <c r="A23" s="52" t="s">
        <v>78</v>
      </c>
      <c r="B23" s="54" t="s">
        <v>30</v>
      </c>
      <c r="C23" s="52">
        <v>26545.486</v>
      </c>
      <c r="D23" s="52" t="s">
        <v>71</v>
      </c>
      <c r="E23">
        <f t="shared" si="0"/>
        <v>-4449.030863412596</v>
      </c>
      <c r="F23">
        <f t="shared" si="1"/>
        <v>-4449</v>
      </c>
      <c r="G23">
        <f t="shared" si="2"/>
        <v>-0.11893000000054599</v>
      </c>
      <c r="I23">
        <f t="shared" si="3"/>
        <v>-0.11893000000054599</v>
      </c>
      <c r="O23">
        <f t="shared" si="4"/>
        <v>0.0768981397998375</v>
      </c>
      <c r="Q23" s="2">
        <f t="shared" si="5"/>
        <v>11526.986</v>
      </c>
      <c r="R23">
        <f t="shared" si="6"/>
        <v>0.038348660337678545</v>
      </c>
    </row>
    <row r="24" spans="1:18" ht="12.75">
      <c r="A24" s="52" t="s">
        <v>89</v>
      </c>
      <c r="B24" s="54" t="s">
        <v>30</v>
      </c>
      <c r="C24" s="52">
        <v>27393.196</v>
      </c>
      <c r="D24" s="52" t="s">
        <v>71</v>
      </c>
      <c r="E24">
        <f t="shared" si="0"/>
        <v>-4229.042437516706</v>
      </c>
      <c r="F24">
        <f t="shared" si="1"/>
        <v>-4229</v>
      </c>
      <c r="G24">
        <f t="shared" si="2"/>
        <v>-0.16353000000162865</v>
      </c>
      <c r="I24">
        <f t="shared" si="3"/>
        <v>-0.16353000000162865</v>
      </c>
      <c r="O24">
        <f t="shared" si="4"/>
        <v>0.07573252831654018</v>
      </c>
      <c r="Q24" s="2">
        <f t="shared" si="5"/>
        <v>12374.696</v>
      </c>
      <c r="R24">
        <f t="shared" si="6"/>
        <v>0.05724655745720254</v>
      </c>
    </row>
    <row r="25" spans="1:18" ht="12.75">
      <c r="A25" s="52" t="s">
        <v>78</v>
      </c>
      <c r="B25" s="54" t="s">
        <v>30</v>
      </c>
      <c r="C25" s="52">
        <v>27624.469</v>
      </c>
      <c r="D25" s="52" t="s">
        <v>71</v>
      </c>
      <c r="E25">
        <f t="shared" si="0"/>
        <v>-4169.024998507823</v>
      </c>
      <c r="F25">
        <f t="shared" si="1"/>
        <v>-4169</v>
      </c>
      <c r="G25">
        <f t="shared" si="2"/>
        <v>-0.09632999999666936</v>
      </c>
      <c r="I25">
        <f t="shared" si="3"/>
        <v>-0.09632999999666936</v>
      </c>
      <c r="O25">
        <f t="shared" si="4"/>
        <v>0.07541463427564091</v>
      </c>
      <c r="Q25" s="2">
        <f t="shared" si="5"/>
        <v>12605.969000000001</v>
      </c>
      <c r="R25">
        <f t="shared" si="6"/>
        <v>0.02949621940132961</v>
      </c>
    </row>
    <row r="26" spans="1:18" ht="12.75">
      <c r="A26" s="52" t="s">
        <v>78</v>
      </c>
      <c r="B26" s="54" t="s">
        <v>30</v>
      </c>
      <c r="C26" s="52">
        <v>27655.425</v>
      </c>
      <c r="D26" s="52" t="s">
        <v>71</v>
      </c>
      <c r="E26">
        <f t="shared" si="0"/>
        <v>-4160.991636022972</v>
      </c>
      <c r="F26">
        <f t="shared" si="1"/>
        <v>-4161</v>
      </c>
      <c r="G26">
        <f t="shared" si="2"/>
        <v>0.03223000000070897</v>
      </c>
      <c r="I26">
        <f t="shared" si="3"/>
        <v>0.03223000000070897</v>
      </c>
      <c r="O26">
        <f t="shared" si="4"/>
        <v>0.07537224840352101</v>
      </c>
      <c r="Q26" s="2">
        <f t="shared" si="5"/>
        <v>12636.925</v>
      </c>
      <c r="R26">
        <f t="shared" si="6"/>
        <v>0.001861253597249938</v>
      </c>
    </row>
    <row r="27" spans="1:18" ht="12.75">
      <c r="A27" s="52" t="s">
        <v>89</v>
      </c>
      <c r="B27" s="54" t="s">
        <v>30</v>
      </c>
      <c r="C27" s="52">
        <v>27713.297</v>
      </c>
      <c r="D27" s="52" t="s">
        <v>71</v>
      </c>
      <c r="E27">
        <f t="shared" si="0"/>
        <v>-4145.973327658736</v>
      </c>
      <c r="F27">
        <f t="shared" si="1"/>
        <v>-4146</v>
      </c>
      <c r="G27">
        <f t="shared" si="2"/>
        <v>0.10278000000107568</v>
      </c>
      <c r="I27">
        <f t="shared" si="3"/>
        <v>0.10278000000107568</v>
      </c>
      <c r="O27">
        <f t="shared" si="4"/>
        <v>0.0752927748932962</v>
      </c>
      <c r="Q27" s="2">
        <f t="shared" si="5"/>
        <v>12694.796999999999</v>
      </c>
      <c r="R27">
        <f t="shared" si="6"/>
        <v>0.0007555475441257428</v>
      </c>
    </row>
    <row r="28" spans="1:18" ht="12.75">
      <c r="A28" s="8" t="s">
        <v>49</v>
      </c>
      <c r="B28" s="7"/>
      <c r="C28" s="27">
        <v>38294.71</v>
      </c>
      <c r="D28" s="28"/>
      <c r="E28">
        <f t="shared" si="0"/>
        <v>-1400.0007785271823</v>
      </c>
      <c r="F28">
        <f t="shared" si="1"/>
        <v>-1400</v>
      </c>
      <c r="G28">
        <f t="shared" si="2"/>
        <v>-0.0030000000042491592</v>
      </c>
      <c r="I28">
        <f t="shared" si="3"/>
        <v>-0.0030000000042491592</v>
      </c>
      <c r="O28">
        <f t="shared" si="4"/>
        <v>0.06074382428813967</v>
      </c>
      <c r="Q28" s="2">
        <f t="shared" si="5"/>
        <v>23276.21</v>
      </c>
      <c r="R28">
        <f t="shared" si="6"/>
        <v>0.00406327513541894</v>
      </c>
    </row>
    <row r="29" spans="1:18" ht="12.75">
      <c r="A29" t="s">
        <v>34</v>
      </c>
      <c r="C29" s="28">
        <v>41901.524</v>
      </c>
      <c r="D29" s="28"/>
      <c r="E29">
        <f t="shared" si="0"/>
        <v>-463.99986505528886</v>
      </c>
      <c r="F29">
        <f t="shared" si="1"/>
        <v>-464</v>
      </c>
      <c r="G29">
        <f t="shared" si="2"/>
        <v>0.0005200000014156103</v>
      </c>
      <c r="I29">
        <f t="shared" si="3"/>
        <v>0.0005200000014156103</v>
      </c>
      <c r="O29">
        <f t="shared" si="4"/>
        <v>0.055784677250111075</v>
      </c>
      <c r="Q29" s="2">
        <f t="shared" si="5"/>
        <v>26883.023999999998</v>
      </c>
      <c r="R29">
        <f t="shared" si="6"/>
        <v>0.003054184551402478</v>
      </c>
    </row>
    <row r="30" spans="1:18" ht="12.75">
      <c r="A30" t="s">
        <v>35</v>
      </c>
      <c r="C30" s="28">
        <v>42899.543</v>
      </c>
      <c r="D30" s="28"/>
      <c r="E30">
        <f t="shared" si="0"/>
        <v>-205.0048917457957</v>
      </c>
      <c r="F30">
        <f t="shared" si="1"/>
        <v>-205</v>
      </c>
      <c r="G30">
        <f t="shared" si="2"/>
        <v>-0.01885000000038417</v>
      </c>
      <c r="I30">
        <f t="shared" si="3"/>
        <v>-0.01885000000038417</v>
      </c>
      <c r="O30">
        <f t="shared" si="4"/>
        <v>0.054412434640229226</v>
      </c>
      <c r="Q30" s="2">
        <f t="shared" si="5"/>
        <v>27881.042999999998</v>
      </c>
      <c r="R30">
        <f t="shared" si="6"/>
        <v>0.00536738432947015</v>
      </c>
    </row>
    <row r="31" spans="1:18" ht="12.75">
      <c r="A31" t="s">
        <v>36</v>
      </c>
      <c r="C31" s="28">
        <v>42953.515</v>
      </c>
      <c r="D31" s="28"/>
      <c r="E31">
        <f t="shared" si="0"/>
        <v>-190.9986687185183</v>
      </c>
      <c r="F31">
        <f t="shared" si="1"/>
        <v>-191</v>
      </c>
      <c r="G31">
        <f t="shared" si="2"/>
        <v>0.005129999997734558</v>
      </c>
      <c r="I31">
        <f t="shared" si="3"/>
        <v>0.005129999997734558</v>
      </c>
      <c r="O31">
        <f t="shared" si="4"/>
        <v>0.0543382593640194</v>
      </c>
      <c r="Q31" s="2">
        <f t="shared" si="5"/>
        <v>27935.015</v>
      </c>
      <c r="R31">
        <f t="shared" si="6"/>
        <v>0.00242145278985956</v>
      </c>
    </row>
    <row r="32" spans="1:18" ht="12.75">
      <c r="A32" t="s">
        <v>37</v>
      </c>
      <c r="C32" s="28">
        <v>43458.311</v>
      </c>
      <c r="D32" s="28"/>
      <c r="E32">
        <f t="shared" si="0"/>
        <v>-59.999532883690094</v>
      </c>
      <c r="F32">
        <f t="shared" si="1"/>
        <v>-60</v>
      </c>
      <c r="G32">
        <f t="shared" si="2"/>
        <v>0.0018000000054598786</v>
      </c>
      <c r="I32">
        <f t="shared" si="3"/>
        <v>0.0018000000054598786</v>
      </c>
      <c r="O32">
        <f t="shared" si="4"/>
        <v>0.053644190708056</v>
      </c>
      <c r="Q32" s="2">
        <f t="shared" si="5"/>
        <v>28439.811</v>
      </c>
      <c r="R32">
        <f t="shared" si="6"/>
        <v>0.0026878201096071537</v>
      </c>
    </row>
    <row r="33" spans="1:18" ht="12.75">
      <c r="A33" t="s">
        <v>38</v>
      </c>
      <c r="C33" s="28">
        <v>43662.551</v>
      </c>
      <c r="D33" s="28"/>
      <c r="E33">
        <f t="shared" si="0"/>
        <v>-6.997402314301789</v>
      </c>
      <c r="F33">
        <f t="shared" si="1"/>
        <v>-7</v>
      </c>
      <c r="G33">
        <f t="shared" si="2"/>
        <v>0.010009999998146668</v>
      </c>
      <c r="I33">
        <f t="shared" si="3"/>
        <v>0.010009999998146668</v>
      </c>
      <c r="O33">
        <f t="shared" si="4"/>
        <v>0.05336338430526164</v>
      </c>
      <c r="Q33" s="2">
        <f t="shared" si="5"/>
        <v>28644.051</v>
      </c>
      <c r="R33">
        <f t="shared" si="6"/>
        <v>0.001879515930880403</v>
      </c>
    </row>
    <row r="34" spans="1:18" ht="12.75">
      <c r="A34" t="s">
        <v>17</v>
      </c>
      <c r="C34" s="28">
        <v>43689.515</v>
      </c>
      <c r="D34" s="28" t="s">
        <v>31</v>
      </c>
      <c r="E34">
        <f t="shared" si="0"/>
        <v>0</v>
      </c>
      <c r="F34">
        <f t="shared" si="1"/>
        <v>0</v>
      </c>
      <c r="G34">
        <f t="shared" si="2"/>
        <v>0</v>
      </c>
      <c r="H34">
        <f>G34</f>
        <v>0</v>
      </c>
      <c r="O34">
        <f t="shared" si="4"/>
        <v>0.05332629666715673</v>
      </c>
      <c r="Q34" s="2">
        <f t="shared" si="5"/>
        <v>28671.015</v>
      </c>
      <c r="R34">
        <f t="shared" si="6"/>
        <v>0.0028436939162336107</v>
      </c>
    </row>
    <row r="35" spans="1:18" ht="12.75">
      <c r="A35" t="s">
        <v>39</v>
      </c>
      <c r="C35" s="28">
        <v>46321.397</v>
      </c>
      <c r="D35" s="28"/>
      <c r="E35">
        <f t="shared" si="0"/>
        <v>682.9972258481399</v>
      </c>
      <c r="F35">
        <f t="shared" si="1"/>
        <v>683</v>
      </c>
      <c r="G35">
        <f t="shared" si="2"/>
        <v>-0.010690000002796296</v>
      </c>
      <c r="I35">
        <f aca="true" t="shared" si="7" ref="I35:I45">+G35</f>
        <v>-0.010690000002796296</v>
      </c>
      <c r="O35">
        <f t="shared" si="4"/>
        <v>0.04970760283492005</v>
      </c>
      <c r="Q35" s="2">
        <f t="shared" si="5"/>
        <v>31302.896999999997</v>
      </c>
      <c r="R35">
        <f t="shared" si="6"/>
        <v>0.003647870428542522</v>
      </c>
    </row>
    <row r="36" spans="1:18" ht="12.75">
      <c r="A36" t="s">
        <v>40</v>
      </c>
      <c r="C36" s="28">
        <v>46348.384</v>
      </c>
      <c r="D36" s="28"/>
      <c r="E36">
        <f t="shared" si="0"/>
        <v>690.0005968708394</v>
      </c>
      <c r="F36">
        <f t="shared" si="1"/>
        <v>690</v>
      </c>
      <c r="G36">
        <f t="shared" si="2"/>
        <v>0.002300000000104774</v>
      </c>
      <c r="I36">
        <f t="shared" si="7"/>
        <v>0.002300000000104774</v>
      </c>
      <c r="O36">
        <f t="shared" si="4"/>
        <v>0.04967051519681514</v>
      </c>
      <c r="Q36" s="2">
        <f t="shared" si="5"/>
        <v>31329.884</v>
      </c>
      <c r="R36">
        <f t="shared" si="6"/>
        <v>0.0022439657100017676</v>
      </c>
    </row>
    <row r="37" spans="1:18" ht="12.75">
      <c r="A37" t="s">
        <v>41</v>
      </c>
      <c r="C37" s="28">
        <v>46348.386</v>
      </c>
      <c r="D37" s="28"/>
      <c r="E37">
        <f t="shared" si="0"/>
        <v>690.0011158889611</v>
      </c>
      <c r="F37">
        <f t="shared" si="1"/>
        <v>690</v>
      </c>
      <c r="G37">
        <f t="shared" si="2"/>
        <v>0.004300000000512227</v>
      </c>
      <c r="I37">
        <f t="shared" si="7"/>
        <v>0.004300000000512227</v>
      </c>
      <c r="O37">
        <f t="shared" si="4"/>
        <v>0.04967051519681514</v>
      </c>
      <c r="Q37" s="2">
        <f t="shared" si="5"/>
        <v>31329.886</v>
      </c>
      <c r="R37">
        <f t="shared" si="6"/>
        <v>0.0020584836491779534</v>
      </c>
    </row>
    <row r="38" spans="1:18" ht="12.75">
      <c r="A38" t="s">
        <v>42</v>
      </c>
      <c r="C38" s="28">
        <v>47003.441</v>
      </c>
      <c r="D38" s="28"/>
      <c r="E38">
        <f t="shared" si="0"/>
        <v>859.9938236843539</v>
      </c>
      <c r="F38">
        <f t="shared" si="1"/>
        <v>860</v>
      </c>
      <c r="G38">
        <f t="shared" si="2"/>
        <v>-0.02380000000266591</v>
      </c>
      <c r="I38">
        <f t="shared" si="7"/>
        <v>-0.02380000000266591</v>
      </c>
      <c r="O38">
        <f t="shared" si="4"/>
        <v>0.04876981541426721</v>
      </c>
      <c r="Q38" s="2">
        <f t="shared" si="5"/>
        <v>31984.941</v>
      </c>
      <c r="R38">
        <f t="shared" si="6"/>
        <v>0.005266378109647744</v>
      </c>
    </row>
    <row r="39" spans="1:18" ht="12.75">
      <c r="A39" t="s">
        <v>42</v>
      </c>
      <c r="C39" s="28">
        <v>47003.465</v>
      </c>
      <c r="D39" s="28"/>
      <c r="E39">
        <f t="shared" si="0"/>
        <v>860.0000519018114</v>
      </c>
      <c r="F39">
        <f t="shared" si="1"/>
        <v>860</v>
      </c>
      <c r="G39">
        <f t="shared" si="2"/>
        <v>0.00019999999494757503</v>
      </c>
      <c r="I39">
        <f t="shared" si="7"/>
        <v>0.00019999999494757503</v>
      </c>
      <c r="O39">
        <f t="shared" si="4"/>
        <v>0.04876981541426721</v>
      </c>
      <c r="Q39" s="2">
        <f t="shared" si="5"/>
        <v>31984.964999999997</v>
      </c>
      <c r="R39">
        <f t="shared" si="6"/>
        <v>0.0023590269698667795</v>
      </c>
    </row>
    <row r="40" spans="1:18" ht="12.75">
      <c r="A40" t="s">
        <v>42</v>
      </c>
      <c r="C40" s="28">
        <v>47030.426</v>
      </c>
      <c r="D40" s="28"/>
      <c r="E40">
        <f t="shared" si="0"/>
        <v>866.9966756889318</v>
      </c>
      <c r="F40">
        <f t="shared" si="1"/>
        <v>867</v>
      </c>
      <c r="G40">
        <f t="shared" si="2"/>
        <v>-0.012810000000172295</v>
      </c>
      <c r="I40">
        <f t="shared" si="7"/>
        <v>-0.012810000000172295</v>
      </c>
      <c r="O40">
        <f t="shared" si="4"/>
        <v>0.0487327277761623</v>
      </c>
      <c r="Q40" s="2">
        <f t="shared" si="5"/>
        <v>32011.926</v>
      </c>
      <c r="R40">
        <f t="shared" si="6"/>
        <v>0.0037875073421520253</v>
      </c>
    </row>
    <row r="41" spans="1:18" ht="12.75">
      <c r="A41" t="s">
        <v>43</v>
      </c>
      <c r="C41" s="28">
        <v>47057.43</v>
      </c>
      <c r="D41" s="28"/>
      <c r="E41">
        <f t="shared" si="0"/>
        <v>874.004458365664</v>
      </c>
      <c r="F41">
        <f t="shared" si="1"/>
        <v>874</v>
      </c>
      <c r="G41">
        <f t="shared" si="2"/>
        <v>0.017180000002554152</v>
      </c>
      <c r="I41">
        <f t="shared" si="7"/>
        <v>0.017180000002554152</v>
      </c>
      <c r="O41">
        <f t="shared" si="4"/>
        <v>0.04869564013805738</v>
      </c>
      <c r="Q41" s="2">
        <f t="shared" si="5"/>
        <v>32038.93</v>
      </c>
      <c r="R41">
        <f t="shared" si="6"/>
        <v>0.000993235573150542</v>
      </c>
    </row>
    <row r="42" spans="1:18" ht="12.75">
      <c r="A42" s="52" t="s">
        <v>158</v>
      </c>
      <c r="B42" s="54" t="s">
        <v>30</v>
      </c>
      <c r="C42" s="52">
        <v>47762.59</v>
      </c>
      <c r="D42" s="52" t="s">
        <v>71</v>
      </c>
      <c r="E42">
        <f t="shared" si="0"/>
        <v>1056.9998676503783</v>
      </c>
      <c r="F42">
        <f t="shared" si="1"/>
        <v>1057</v>
      </c>
      <c r="G42">
        <f t="shared" si="2"/>
        <v>-0.0005100000053062104</v>
      </c>
      <c r="I42">
        <f t="shared" si="7"/>
        <v>-0.0005100000053062104</v>
      </c>
      <c r="O42">
        <f t="shared" si="4"/>
        <v>0.04772606331331461</v>
      </c>
      <c r="Q42" s="2">
        <f t="shared" si="5"/>
        <v>32744.089999999997</v>
      </c>
      <c r="R42">
        <f t="shared" si="6"/>
        <v>0.002326717804477997</v>
      </c>
    </row>
    <row r="43" spans="1:18" ht="12.75">
      <c r="A43" t="s">
        <v>44</v>
      </c>
      <c r="C43" s="28">
        <v>48448.502</v>
      </c>
      <c r="D43" s="28">
        <v>0.006</v>
      </c>
      <c r="E43">
        <f t="shared" si="0"/>
        <v>1235.000246533608</v>
      </c>
      <c r="F43">
        <f t="shared" si="1"/>
        <v>1235</v>
      </c>
      <c r="G43">
        <f t="shared" si="2"/>
        <v>0.0009500000014668331</v>
      </c>
      <c r="I43">
        <f t="shared" si="7"/>
        <v>0.0009500000014668331</v>
      </c>
      <c r="O43">
        <f t="shared" si="4"/>
        <v>0.04678297765864678</v>
      </c>
      <c r="Q43" s="2">
        <f t="shared" si="5"/>
        <v>33430.002</v>
      </c>
      <c r="R43">
        <f t="shared" si="6"/>
        <v>0.0021006618409235562</v>
      </c>
    </row>
    <row r="44" spans="1:18" ht="12.75">
      <c r="A44" t="s">
        <v>45</v>
      </c>
      <c r="C44" s="28">
        <v>49211.45</v>
      </c>
      <c r="D44" s="28"/>
      <c r="E44">
        <f t="shared" si="0"/>
        <v>1432.9921654214552</v>
      </c>
      <c r="F44">
        <f t="shared" si="1"/>
        <v>1433</v>
      </c>
      <c r="G44">
        <f t="shared" si="2"/>
        <v>-0.03019000000494998</v>
      </c>
      <c r="I44">
        <f t="shared" si="7"/>
        <v>-0.03019000000494998</v>
      </c>
      <c r="O44">
        <f t="shared" si="4"/>
        <v>0.045733927323679195</v>
      </c>
      <c r="Q44" s="2">
        <f t="shared" si="5"/>
        <v>34192.95</v>
      </c>
      <c r="R44">
        <f t="shared" si="6"/>
        <v>0.005764442741002965</v>
      </c>
    </row>
    <row r="45" spans="1:18" ht="12.75">
      <c r="A45" t="s">
        <v>46</v>
      </c>
      <c r="C45" s="28">
        <v>49211.475</v>
      </c>
      <c r="D45" s="28">
        <v>0.008</v>
      </c>
      <c r="E45">
        <f t="shared" si="0"/>
        <v>1432.9986531479744</v>
      </c>
      <c r="F45">
        <f t="shared" si="1"/>
        <v>1433</v>
      </c>
      <c r="G45">
        <f t="shared" si="2"/>
        <v>-0.005190000003494788</v>
      </c>
      <c r="I45">
        <f t="shared" si="7"/>
        <v>-0.005190000003494788</v>
      </c>
      <c r="O45">
        <f t="shared" si="4"/>
        <v>0.045733927323679195</v>
      </c>
      <c r="Q45" s="2">
        <f t="shared" si="5"/>
        <v>34192.975</v>
      </c>
      <c r="R45">
        <f t="shared" si="6"/>
        <v>0.002593246374423297</v>
      </c>
    </row>
    <row r="46" spans="1:21" ht="12.75">
      <c r="A46" s="52" t="s">
        <v>177</v>
      </c>
      <c r="B46" s="54" t="s">
        <v>30</v>
      </c>
      <c r="C46" s="52">
        <v>50683.4467</v>
      </c>
      <c r="D46" s="52" t="s">
        <v>71</v>
      </c>
      <c r="E46">
        <f t="shared" si="0"/>
        <v>1814.988646478592</v>
      </c>
      <c r="F46">
        <f t="shared" si="1"/>
        <v>1815</v>
      </c>
      <c r="O46">
        <f t="shared" si="4"/>
        <v>0.04371000192995385</v>
      </c>
      <c r="Q46" s="2">
        <f t="shared" si="5"/>
        <v>35664.9467</v>
      </c>
      <c r="R46">
        <f t="shared" si="6"/>
        <v>0.0019105642687165692</v>
      </c>
      <c r="U46">
        <f>+C46-(C$7+F46*C$8)</f>
        <v>-0.04374999999708962</v>
      </c>
    </row>
    <row r="47" spans="1:21" ht="12.75">
      <c r="A47" s="52" t="s">
        <v>177</v>
      </c>
      <c r="B47" s="54" t="s">
        <v>30</v>
      </c>
      <c r="C47" s="52">
        <v>50683.4696</v>
      </c>
      <c r="D47" s="52" t="s">
        <v>71</v>
      </c>
      <c r="E47">
        <f t="shared" si="0"/>
        <v>1814.9945892360824</v>
      </c>
      <c r="F47">
        <f t="shared" si="1"/>
        <v>1815</v>
      </c>
      <c r="O47">
        <f t="shared" si="4"/>
        <v>0.04371000192995385</v>
      </c>
      <c r="Q47" s="2">
        <f t="shared" si="5"/>
        <v>35664.9696</v>
      </c>
      <c r="R47">
        <f t="shared" si="6"/>
        <v>0.0019105642687165692</v>
      </c>
      <c r="U47">
        <f>+C47-(C$7+F47*C$8)</f>
        <v>-0.020850000000791624</v>
      </c>
    </row>
    <row r="48" spans="1:18" ht="12.75">
      <c r="A48" t="s">
        <v>47</v>
      </c>
      <c r="C48" s="28">
        <v>50714.3478</v>
      </c>
      <c r="D48" s="28">
        <v>0.0003</v>
      </c>
      <c r="E48">
        <f t="shared" si="0"/>
        <v>1823.0077619160083</v>
      </c>
      <c r="F48">
        <f t="shared" si="1"/>
        <v>1823</v>
      </c>
      <c r="G48">
        <f aca="true" t="shared" si="8" ref="G48:G54">+C48-(C$7+F48*C$8)</f>
        <v>0.029910000004747417</v>
      </c>
      <c r="J48">
        <f>+G48</f>
        <v>0.029910000004747417</v>
      </c>
      <c r="O48">
        <f t="shared" si="4"/>
        <v>0.043667616057833945</v>
      </c>
      <c r="Q48" s="2">
        <f t="shared" si="5"/>
        <v>35695.8478</v>
      </c>
      <c r="R48">
        <f t="shared" si="6"/>
        <v>0.00018927199946414415</v>
      </c>
    </row>
    <row r="49" spans="1:18" ht="12.75">
      <c r="A49" s="52" t="s">
        <v>192</v>
      </c>
      <c r="B49" s="54" t="s">
        <v>30</v>
      </c>
      <c r="C49" s="52">
        <v>51400.278</v>
      </c>
      <c r="D49" s="52" t="s">
        <v>71</v>
      </c>
      <c r="E49">
        <f t="shared" si="0"/>
        <v>2001.0128638641415</v>
      </c>
      <c r="F49">
        <f t="shared" si="1"/>
        <v>2001</v>
      </c>
      <c r="G49">
        <f t="shared" si="8"/>
        <v>0.0495699999955832</v>
      </c>
      <c r="I49">
        <f>+G49</f>
        <v>0.0495699999955832</v>
      </c>
      <c r="O49">
        <f t="shared" si="4"/>
        <v>0.042724530403166115</v>
      </c>
      <c r="Q49" s="2">
        <f t="shared" si="5"/>
        <v>36381.778</v>
      </c>
      <c r="R49">
        <f t="shared" si="6"/>
        <v>4.6860453940706966E-05</v>
      </c>
    </row>
    <row r="50" spans="1:18" ht="12.75">
      <c r="A50" s="52" t="s">
        <v>192</v>
      </c>
      <c r="B50" s="54" t="s">
        <v>30</v>
      </c>
      <c r="C50" s="52">
        <v>51889.6472</v>
      </c>
      <c r="D50" s="52" t="s">
        <v>71</v>
      </c>
      <c r="E50">
        <f t="shared" si="0"/>
        <v>2128.008605320455</v>
      </c>
      <c r="F50">
        <f t="shared" si="1"/>
        <v>2128</v>
      </c>
      <c r="G50">
        <f t="shared" si="8"/>
        <v>0.033159999999043066</v>
      </c>
      <c r="J50">
        <f>+G50</f>
        <v>0.033159999999043066</v>
      </c>
      <c r="O50">
        <f t="shared" si="4"/>
        <v>0.04205165468326266</v>
      </c>
      <c r="Q50" s="2">
        <f t="shared" si="5"/>
        <v>36871.1472</v>
      </c>
      <c r="R50">
        <f t="shared" si="6"/>
        <v>7.90615230234043E-05</v>
      </c>
    </row>
    <row r="51" spans="1:18" ht="12.75">
      <c r="A51" s="56" t="s">
        <v>48</v>
      </c>
      <c r="B51" s="57" t="s">
        <v>30</v>
      </c>
      <c r="C51" s="58">
        <v>52105.4476</v>
      </c>
      <c r="D51" s="58">
        <v>0.0021</v>
      </c>
      <c r="E51">
        <f t="shared" si="0"/>
        <v>2184.0107644358404</v>
      </c>
      <c r="F51">
        <f t="shared" si="1"/>
        <v>2184</v>
      </c>
      <c r="G51">
        <f t="shared" si="8"/>
        <v>0.04147999999986496</v>
      </c>
      <c r="K51">
        <f>+G51</f>
        <v>0.04147999999986496</v>
      </c>
      <c r="O51">
        <f t="shared" si="4"/>
        <v>0.04175495357842335</v>
      </c>
      <c r="Q51" s="2">
        <f t="shared" si="5"/>
        <v>37086.9476</v>
      </c>
      <c r="R51">
        <f t="shared" si="6"/>
        <v>7.559947036206479E-08</v>
      </c>
    </row>
    <row r="52" spans="1:18" ht="12.75">
      <c r="A52" s="59" t="s">
        <v>58</v>
      </c>
      <c r="B52" s="60" t="s">
        <v>30</v>
      </c>
      <c r="C52" s="59">
        <v>52841.45063</v>
      </c>
      <c r="D52" s="59">
        <v>0.0029</v>
      </c>
      <c r="E52">
        <f t="shared" si="0"/>
        <v>2375.010219466813</v>
      </c>
      <c r="F52">
        <f t="shared" si="1"/>
        <v>2375</v>
      </c>
      <c r="G52">
        <f t="shared" si="8"/>
        <v>0.03938000000198372</v>
      </c>
      <c r="K52">
        <f>+G52</f>
        <v>0.03938000000198372</v>
      </c>
      <c r="O52">
        <f t="shared" si="4"/>
        <v>0.04074299088156068</v>
      </c>
      <c r="Q52" s="2">
        <f t="shared" si="5"/>
        <v>37822.95063</v>
      </c>
      <c r="R52">
        <f t="shared" si="6"/>
        <v>1.8577441378099786E-06</v>
      </c>
    </row>
    <row r="53" spans="1:18" ht="12.75">
      <c r="A53" s="52" t="s">
        <v>212</v>
      </c>
      <c r="B53" s="54" t="s">
        <v>30</v>
      </c>
      <c r="C53" s="52">
        <v>54313.4899</v>
      </c>
      <c r="D53" s="52" t="s">
        <v>71</v>
      </c>
      <c r="E53">
        <f t="shared" si="0"/>
        <v>2757.0177478246655</v>
      </c>
      <c r="F53">
        <f t="shared" si="1"/>
        <v>2757</v>
      </c>
      <c r="G53">
        <f t="shared" si="8"/>
        <v>0.06839000000036322</v>
      </c>
      <c r="K53">
        <f>+G53</f>
        <v>0.06839000000036322</v>
      </c>
      <c r="O53">
        <f t="shared" si="4"/>
        <v>0.03871906548783533</v>
      </c>
      <c r="Q53" s="2">
        <f t="shared" si="5"/>
        <v>39294.9899</v>
      </c>
      <c r="R53">
        <f t="shared" si="6"/>
        <v>0.0008803643548467183</v>
      </c>
    </row>
    <row r="54" spans="1:18" ht="12.75">
      <c r="A54" s="58" t="s">
        <v>60</v>
      </c>
      <c r="B54" s="57" t="s">
        <v>30</v>
      </c>
      <c r="C54" s="58">
        <v>56864.4358</v>
      </c>
      <c r="D54" s="58">
        <v>0.001</v>
      </c>
      <c r="E54">
        <f t="shared" si="0"/>
        <v>3419.011322380321</v>
      </c>
      <c r="F54">
        <f t="shared" si="1"/>
        <v>3419</v>
      </c>
      <c r="G54">
        <f t="shared" si="8"/>
        <v>0.04363000000012107</v>
      </c>
      <c r="J54">
        <f>+G54</f>
        <v>0.04363000000012107</v>
      </c>
      <c r="O54">
        <f t="shared" si="4"/>
        <v>0.0352116345699134</v>
      </c>
      <c r="Q54" s="2">
        <f t="shared" si="5"/>
        <v>41845.9358</v>
      </c>
      <c r="R54">
        <f t="shared" si="6"/>
        <v>7.08688765165156E-05</v>
      </c>
    </row>
    <row r="55" spans="1:18" ht="12.75">
      <c r="A55" s="63" t="s">
        <v>1</v>
      </c>
      <c r="B55" s="64" t="s">
        <v>30</v>
      </c>
      <c r="C55" s="65">
        <v>57257.4764</v>
      </c>
      <c r="D55" s="65" t="s">
        <v>2</v>
      </c>
      <c r="E55">
        <f>+(C55-C$7)/C$8</f>
        <v>3521.0089193264184</v>
      </c>
      <c r="F55">
        <f t="shared" si="1"/>
        <v>3521</v>
      </c>
      <c r="G55">
        <f>+C55-(C$7+F55*C$8)</f>
        <v>0.034370000001217704</v>
      </c>
      <c r="K55">
        <f>+G55</f>
        <v>0.034370000001217704</v>
      </c>
      <c r="O55">
        <f>+C$11+C$12*$F55</f>
        <v>0.034671214700384645</v>
      </c>
      <c r="Q55" s="2">
        <f>+C55-15018.5</f>
        <v>42238.9764</v>
      </c>
      <c r="R55">
        <f>(O55-G55)^2</f>
        <v>9.073029499423056E-08</v>
      </c>
    </row>
    <row r="56" spans="1:18" ht="12.75">
      <c r="A56" s="66" t="s">
        <v>0</v>
      </c>
      <c r="B56" s="67" t="s">
        <v>30</v>
      </c>
      <c r="C56" s="67">
        <v>57966.4865</v>
      </c>
      <c r="D56" s="67">
        <v>0.0011</v>
      </c>
      <c r="E56">
        <f>+(C56-C$7)/C$8</f>
        <v>3705.003464445961</v>
      </c>
      <c r="F56">
        <f t="shared" si="1"/>
        <v>3705</v>
      </c>
      <c r="G56">
        <f>+C56-(C$7+F56*C$8)</f>
        <v>0.013350000001082662</v>
      </c>
      <c r="K56">
        <f>+G56</f>
        <v>0.013350000001082662</v>
      </c>
      <c r="O56">
        <f>+C$11+C$12*$F56</f>
        <v>0.03369633964162688</v>
      </c>
      <c r="Q56" s="2">
        <f>+C56-15018.5</f>
        <v>42947.9865</v>
      </c>
      <c r="R56">
        <f>(O56-G56)^2</f>
        <v>0.0004139735367683811</v>
      </c>
    </row>
  </sheetData>
  <sheetProtection/>
  <hyperlinks>
    <hyperlink ref="H817" r:id="rId1" display="http://vsolj.cetus-net.org/bulletin.html"/>
    <hyperlink ref="H64558" r:id="rId2" display="http://vsolj.cetus-net.org/bulletin.html"/>
    <hyperlink ref="H64551" r:id="rId3" display="https://www.aavso.org/ejaavso"/>
    <hyperlink ref="AP702" r:id="rId4" display="http://cdsbib.u-strasbg.fr/cgi-bin/cdsbib?1990RMxAA..21..381G"/>
    <hyperlink ref="AP706" r:id="rId5" display="http://cdsbib.u-strasbg.fr/cgi-bin/cdsbib?1990RMxAA..21..381G"/>
    <hyperlink ref="AP705" r:id="rId6" display="http://cdsbib.u-strasbg.fr/cgi-bin/cdsbib?1990RMxAA..21..381G"/>
    <hyperlink ref="AP686" r:id="rId7" display="http://cdsbib.u-strasbg.fr/cgi-bin/cdsbib?1990RMxAA..21..381G"/>
    <hyperlink ref="I64558" r:id="rId8" display="http://vsolj.cetus-net.org/bulletin.html"/>
    <hyperlink ref="AQ842" r:id="rId9" display="http://cdsbib.u-strasbg.fr/cgi-bin/cdsbib?1990RMxAA..21..381G"/>
    <hyperlink ref="AQ55608" r:id="rId10" display="http://cdsbib.u-strasbg.fr/cgi-bin/cdsbib?1990RMxAA..21..381G"/>
    <hyperlink ref="AQ843" r:id="rId11" display="http://cdsbib.u-strasbg.fr/cgi-bin/cdsbib?1990RMxAA..21..381G"/>
    <hyperlink ref="H64555" r:id="rId12" display="https://www.aavso.org/ejaavso"/>
    <hyperlink ref="H1728" r:id="rId13" display="http://vsolj.cetus-net.org/bulletin.html"/>
    <hyperlink ref="AP2972" r:id="rId14" display="http://cdsbib.u-strasbg.fr/cgi-bin/cdsbib?1990RMxAA..21..381G"/>
    <hyperlink ref="AP2975" r:id="rId15" display="http://cdsbib.u-strasbg.fr/cgi-bin/cdsbib?1990RMxAA..21..381G"/>
    <hyperlink ref="AP2973" r:id="rId16" display="http://cdsbib.u-strasbg.fr/cgi-bin/cdsbib?1990RMxAA..21..381G"/>
    <hyperlink ref="AP2957" r:id="rId17" display="http://cdsbib.u-strasbg.fr/cgi-bin/cdsbib?1990RMxAA..21..381G"/>
    <hyperlink ref="I1728" r:id="rId18" display="http://vsolj.cetus-net.org/bulletin.html"/>
    <hyperlink ref="AQ3186" r:id="rId19" display="http://cdsbib.u-strasbg.fr/cgi-bin/cdsbib?1990RMxAA..21..381G"/>
    <hyperlink ref="AQ65423" r:id="rId20" display="http://cdsbib.u-strasbg.fr/cgi-bin/cdsbib?1990RMxAA..21..381G"/>
    <hyperlink ref="AQ3190" r:id="rId21" display="http://cdsbib.u-strasbg.fr/cgi-bin/cdsbib?1990RMxAA..21..381G"/>
  </hyperlinks>
  <printOptions/>
  <pageMargins left="0.75" right="0.75" top="1" bottom="1" header="0.5" footer="0.5"/>
  <pageSetup orientation="portrait" paperSize="9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11" sqref="E11"/>
    </sheetView>
  </sheetViews>
  <sheetFormatPr defaultColWidth="10.28125" defaultRowHeight="12.75"/>
  <cols>
    <col min="1" max="1" width="14.421875" style="0" customWidth="1"/>
    <col min="2" max="2" width="5.140625" style="17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2" ht="12.75">
      <c r="A2" t="s">
        <v>28</v>
      </c>
      <c r="B2" s="17" t="s">
        <v>33</v>
      </c>
    </row>
    <row r="3" ht="13.5" thickBot="1">
      <c r="C3" s="11"/>
    </row>
    <row r="4" spans="1:4" ht="14.25" thickBot="1" thickTop="1">
      <c r="A4" s="4" t="s">
        <v>5</v>
      </c>
      <c r="C4" s="9">
        <v>43689.515</v>
      </c>
      <c r="D4" s="10">
        <v>3.85343</v>
      </c>
    </row>
    <row r="5" spans="1:4" ht="13.5" thickTop="1">
      <c r="A5" s="14" t="s">
        <v>52</v>
      </c>
      <c r="B5" s="53"/>
      <c r="C5" s="16">
        <v>-9.5</v>
      </c>
      <c r="D5" s="15" t="s">
        <v>53</v>
      </c>
    </row>
    <row r="6" ht="12.75">
      <c r="A6" s="4" t="s">
        <v>6</v>
      </c>
    </row>
    <row r="7" spans="1:3" ht="12.75">
      <c r="A7" t="s">
        <v>7</v>
      </c>
      <c r="C7">
        <f>+C4</f>
        <v>43689.515</v>
      </c>
    </row>
    <row r="8" spans="1:3" ht="12.75">
      <c r="A8" t="s">
        <v>8</v>
      </c>
      <c r="C8">
        <v>1.92675</v>
      </c>
    </row>
    <row r="9" spans="1:4" ht="12.75">
      <c r="A9" s="33" t="s">
        <v>57</v>
      </c>
      <c r="B9" s="34">
        <v>48</v>
      </c>
      <c r="C9" s="31" t="str">
        <f>"F"&amp;B9</f>
        <v>F48</v>
      </c>
      <c r="D9" s="32" t="str">
        <f>"G"&amp;B9</f>
        <v>G48</v>
      </c>
    </row>
    <row r="10" spans="1:5" ht="13.5" thickBot="1">
      <c r="A10" s="15"/>
      <c r="B10" s="53"/>
      <c r="C10" s="3" t="s">
        <v>24</v>
      </c>
      <c r="D10" s="3" t="s">
        <v>25</v>
      </c>
      <c r="E10" s="15"/>
    </row>
    <row r="11" spans="1:5" ht="12.75">
      <c r="A11" s="15" t="s">
        <v>20</v>
      </c>
      <c r="B11" s="53"/>
      <c r="C11" s="30">
        <f ca="1">INTERCEPT(INDIRECT($D$9):G992,INDIRECT($C$9):F992)</f>
        <v>0.053326296668758655</v>
      </c>
      <c r="D11" s="17"/>
      <c r="E11" s="15"/>
    </row>
    <row r="12" spans="1:5" ht="12.75">
      <c r="A12" s="15" t="s">
        <v>21</v>
      </c>
      <c r="B12" s="53"/>
      <c r="C12" s="30">
        <f ca="1">SLOPE(INDIRECT($D$9):G992,INDIRECT($C$9):F992)</f>
        <v>-3.7649117007747355E-05</v>
      </c>
      <c r="D12" s="17"/>
      <c r="E12" s="15"/>
    </row>
    <row r="13" spans="1:3" ht="12.75">
      <c r="A13" s="15" t="s">
        <v>23</v>
      </c>
      <c r="B13" s="53"/>
      <c r="C13" s="17" t="s">
        <v>31</v>
      </c>
    </row>
    <row r="14" spans="1:3" ht="12.75">
      <c r="A14" s="15"/>
      <c r="B14" s="53"/>
      <c r="C14" s="15"/>
    </row>
    <row r="15" spans="1:6" ht="12.75">
      <c r="A15" s="18" t="s">
        <v>22</v>
      </c>
      <c r="B15" s="53"/>
      <c r="C15" s="19">
        <f>(C7+C11)+(C8+C12)*INT(MAX(F21:F3533))</f>
        <v>57966.506846339646</v>
      </c>
      <c r="E15" s="17"/>
      <c r="F15" s="15"/>
    </row>
    <row r="16" spans="1:6" ht="12.75">
      <c r="A16" s="22" t="s">
        <v>9</v>
      </c>
      <c r="B16" s="53"/>
      <c r="C16" s="23">
        <f>+C8+C12</f>
        <v>1.9267123508829922</v>
      </c>
      <c r="E16" s="15"/>
      <c r="F16" s="15"/>
    </row>
    <row r="17" spans="1:6" ht="13.5" thickBot="1">
      <c r="A17" s="20" t="s">
        <v>50</v>
      </c>
      <c r="B17" s="53"/>
      <c r="C17" s="15">
        <f>COUNT(C21:C2191)</f>
        <v>36</v>
      </c>
      <c r="E17" s="20" t="s">
        <v>54</v>
      </c>
      <c r="F17" s="21">
        <f ca="1">TODAY()+15018.5-B5/24</f>
        <v>59897.5</v>
      </c>
    </row>
    <row r="18" spans="1:18" ht="14.25" thickBot="1" thickTop="1">
      <c r="A18" s="22" t="s">
        <v>10</v>
      </c>
      <c r="B18" s="53"/>
      <c r="C18" s="25">
        <f>+C15</f>
        <v>57966.506846339646</v>
      </c>
      <c r="D18" s="26">
        <f>+C16</f>
        <v>1.9267123508829922</v>
      </c>
      <c r="E18" s="20" t="s">
        <v>55</v>
      </c>
      <c r="F18" s="21">
        <f>ROUND(2*(F17-C15)/C16,0)/2+1</f>
        <v>1003</v>
      </c>
      <c r="Q18" t="s">
        <v>219</v>
      </c>
      <c r="R18">
        <f>SQRT(SUM(R21:R75)/COUNT(R21:R75))</f>
        <v>0.08419144793720236</v>
      </c>
    </row>
    <row r="19" spans="5:6" ht="13.5" thickTop="1">
      <c r="E19" s="20" t="s">
        <v>56</v>
      </c>
      <c r="F19" s="24">
        <f>+C15+C16*F18-15018.5-C5/24</f>
        <v>44880.89516760862</v>
      </c>
    </row>
    <row r="20" spans="1:21" ht="13.5" thickBot="1">
      <c r="A20" s="3" t="s">
        <v>11</v>
      </c>
      <c r="B20" s="3" t="s">
        <v>12</v>
      </c>
      <c r="C20" s="3" t="s">
        <v>13</v>
      </c>
      <c r="D20" s="3" t="s">
        <v>18</v>
      </c>
      <c r="E20" s="3" t="s">
        <v>14</v>
      </c>
      <c r="F20" s="3" t="s">
        <v>15</v>
      </c>
      <c r="G20" s="3" t="s">
        <v>16</v>
      </c>
      <c r="H20" s="6" t="s">
        <v>68</v>
      </c>
      <c r="I20" s="6" t="s">
        <v>71</v>
      </c>
      <c r="J20" s="6" t="s">
        <v>65</v>
      </c>
      <c r="K20" s="6" t="s">
        <v>63</v>
      </c>
      <c r="L20" s="6" t="s">
        <v>59</v>
      </c>
      <c r="M20" s="6" t="s">
        <v>29</v>
      </c>
      <c r="N20" s="6" t="s">
        <v>32</v>
      </c>
      <c r="O20" s="6" t="s">
        <v>27</v>
      </c>
      <c r="P20" s="5" t="s">
        <v>26</v>
      </c>
      <c r="Q20" s="3" t="s">
        <v>19</v>
      </c>
      <c r="U20" s="55" t="s">
        <v>218</v>
      </c>
    </row>
    <row r="21" spans="1:18" ht="12.75">
      <c r="A21" s="52" t="s">
        <v>78</v>
      </c>
      <c r="B21" s="54" t="s">
        <v>30</v>
      </c>
      <c r="C21" s="52">
        <v>25921.292</v>
      </c>
      <c r="D21" s="52" t="s">
        <v>71</v>
      </c>
      <c r="E21">
        <f aca="true" t="shared" si="0" ref="E21:E54">+(C21-C$7)/C$8</f>
        <v>-9221.862203191902</v>
      </c>
      <c r="F21">
        <f aca="true" t="shared" si="1" ref="F21:F54">ROUND(2*E21,0)/2</f>
        <v>-9222</v>
      </c>
      <c r="G21">
        <f aca="true" t="shared" si="2" ref="G21:G45">+C21-(C$7+F21*C$8)</f>
        <v>0.2655000000013388</v>
      </c>
      <c r="I21">
        <f aca="true" t="shared" si="3" ref="I21:I33">+G21</f>
        <v>0.2655000000013388</v>
      </c>
      <c r="O21">
        <f aca="true" t="shared" si="4" ref="O21:O54">+C$11+C$12*$F21</f>
        <v>0.40052645371420476</v>
      </c>
      <c r="Q21" s="2">
        <f aca="true" t="shared" si="5" ref="Q21:Q54">+C21-15018.5</f>
        <v>10902.792000000001</v>
      </c>
      <c r="R21">
        <f>(O21-G21)^2</f>
        <v>0.01823214320227274</v>
      </c>
    </row>
    <row r="22" spans="1:18" ht="12.75">
      <c r="A22" s="52" t="s">
        <v>78</v>
      </c>
      <c r="B22" s="54" t="s">
        <v>30</v>
      </c>
      <c r="C22" s="52">
        <v>26206.385</v>
      </c>
      <c r="D22" s="52" t="s">
        <v>71</v>
      </c>
      <c r="E22">
        <f t="shared" si="0"/>
        <v>-9073.896457765668</v>
      </c>
      <c r="F22">
        <f t="shared" si="1"/>
        <v>-9074</v>
      </c>
      <c r="G22">
        <f t="shared" si="2"/>
        <v>0.19949999999880674</v>
      </c>
      <c r="I22">
        <f t="shared" si="3"/>
        <v>0.19949999999880674</v>
      </c>
      <c r="O22">
        <f t="shared" si="4"/>
        <v>0.39495438439705816</v>
      </c>
      <c r="Q22" s="2">
        <f t="shared" si="5"/>
        <v>11187.884999999998</v>
      </c>
      <c r="R22">
        <f aca="true" t="shared" si="6" ref="R22:R54">(O22-G22)^2</f>
        <v>0.03820241638049943</v>
      </c>
    </row>
    <row r="23" spans="1:18" ht="12.75">
      <c r="A23" s="52" t="s">
        <v>78</v>
      </c>
      <c r="B23" s="54" t="s">
        <v>30</v>
      </c>
      <c r="C23" s="52">
        <v>26545.486</v>
      </c>
      <c r="D23" s="52" t="s">
        <v>71</v>
      </c>
      <c r="E23">
        <f t="shared" si="0"/>
        <v>-8897.90009082652</v>
      </c>
      <c r="F23">
        <f t="shared" si="1"/>
        <v>-8898</v>
      </c>
      <c r="G23">
        <f t="shared" si="2"/>
        <v>0.19250000000101863</v>
      </c>
      <c r="I23">
        <f t="shared" si="3"/>
        <v>0.19250000000101863</v>
      </c>
      <c r="O23">
        <f t="shared" si="4"/>
        <v>0.3883281398036946</v>
      </c>
      <c r="Q23" s="2">
        <f t="shared" si="5"/>
        <v>11526.986</v>
      </c>
      <c r="R23">
        <f t="shared" si="6"/>
        <v>0.03834866033857642</v>
      </c>
    </row>
    <row r="24" spans="1:18" ht="12.75">
      <c r="A24" s="52" t="s">
        <v>89</v>
      </c>
      <c r="B24" s="54" t="s">
        <v>30</v>
      </c>
      <c r="C24" s="52">
        <v>27393.196</v>
      </c>
      <c r="D24" s="52" t="s">
        <v>71</v>
      </c>
      <c r="E24">
        <f t="shared" si="0"/>
        <v>-8457.931231348124</v>
      </c>
      <c r="F24">
        <f t="shared" si="1"/>
        <v>-8458</v>
      </c>
      <c r="G24">
        <f t="shared" si="2"/>
        <v>0.13249999999970896</v>
      </c>
      <c r="I24">
        <f t="shared" si="3"/>
        <v>0.13249999999970896</v>
      </c>
      <c r="O24">
        <f t="shared" si="4"/>
        <v>0.3717625283202858</v>
      </c>
      <c r="Q24" s="2">
        <f t="shared" si="5"/>
        <v>12374.696</v>
      </c>
      <c r="R24">
        <f t="shared" si="6"/>
        <v>0.05724655745835482</v>
      </c>
    </row>
    <row r="25" spans="1:18" ht="12.75">
      <c r="A25" s="52" t="s">
        <v>78</v>
      </c>
      <c r="B25" s="54" t="s">
        <v>30</v>
      </c>
      <c r="C25" s="52">
        <v>27624.469</v>
      </c>
      <c r="D25" s="52" t="s">
        <v>71</v>
      </c>
      <c r="E25">
        <f t="shared" si="0"/>
        <v>-8337.89853380044</v>
      </c>
      <c r="F25">
        <f t="shared" si="1"/>
        <v>-8338</v>
      </c>
      <c r="G25">
        <f t="shared" si="2"/>
        <v>0.19550000000162981</v>
      </c>
      <c r="I25">
        <f t="shared" si="3"/>
        <v>0.19550000000162981</v>
      </c>
      <c r="O25">
        <f t="shared" si="4"/>
        <v>0.3672446342793561</v>
      </c>
      <c r="Q25" s="2">
        <f t="shared" si="5"/>
        <v>12605.969000000001</v>
      </c>
      <c r="R25">
        <f t="shared" si="6"/>
        <v>0.029496219403189958</v>
      </c>
    </row>
    <row r="26" spans="1:18" ht="12.75">
      <c r="A26" s="52" t="s">
        <v>78</v>
      </c>
      <c r="B26" s="54" t="s">
        <v>30</v>
      </c>
      <c r="C26" s="52">
        <v>27655.425</v>
      </c>
      <c r="D26" s="52" t="s">
        <v>71</v>
      </c>
      <c r="E26">
        <f t="shared" si="0"/>
        <v>-8321.832100687687</v>
      </c>
      <c r="F26">
        <f t="shared" si="1"/>
        <v>-8322</v>
      </c>
      <c r="G26">
        <f t="shared" si="2"/>
        <v>0.323500000002241</v>
      </c>
      <c r="I26">
        <f t="shared" si="3"/>
        <v>0.323500000002241</v>
      </c>
      <c r="O26">
        <f t="shared" si="4"/>
        <v>0.36664224840723214</v>
      </c>
      <c r="Q26" s="2">
        <f t="shared" si="5"/>
        <v>12636.925</v>
      </c>
      <c r="R26">
        <f t="shared" si="6"/>
        <v>0.001861253597437961</v>
      </c>
    </row>
    <row r="27" spans="1:18" ht="12.75">
      <c r="A27" s="52" t="s">
        <v>89</v>
      </c>
      <c r="B27" s="54" t="s">
        <v>30</v>
      </c>
      <c r="C27" s="52">
        <v>27713.297</v>
      </c>
      <c r="D27" s="52" t="s">
        <v>71</v>
      </c>
      <c r="E27">
        <f t="shared" si="0"/>
        <v>-8291.796029583496</v>
      </c>
      <c r="F27">
        <f t="shared" si="1"/>
        <v>-8292</v>
      </c>
      <c r="G27">
        <f t="shared" si="2"/>
        <v>0.3929999999963911</v>
      </c>
      <c r="I27">
        <f t="shared" si="3"/>
        <v>0.3929999999963911</v>
      </c>
      <c r="O27">
        <f t="shared" si="4"/>
        <v>0.36551277489699974</v>
      </c>
      <c r="Q27" s="2">
        <f t="shared" si="5"/>
        <v>12694.796999999999</v>
      </c>
      <c r="R27">
        <f t="shared" si="6"/>
        <v>0.0007555475436646119</v>
      </c>
    </row>
    <row r="28" spans="1:18" ht="12.75">
      <c r="A28" s="8" t="s">
        <v>49</v>
      </c>
      <c r="B28" s="7"/>
      <c r="C28" s="27">
        <v>38294.71</v>
      </c>
      <c r="D28" s="28"/>
      <c r="E28">
        <f t="shared" si="0"/>
        <v>-2799.9506941741274</v>
      </c>
      <c r="F28">
        <f t="shared" si="1"/>
        <v>-2800</v>
      </c>
      <c r="G28">
        <f t="shared" si="2"/>
        <v>0.09500000000116415</v>
      </c>
      <c r="I28">
        <f t="shared" si="3"/>
        <v>0.09500000000116415</v>
      </c>
      <c r="O28">
        <f t="shared" si="4"/>
        <v>0.15874382429045125</v>
      </c>
      <c r="Q28" s="2">
        <f t="shared" si="5"/>
        <v>23276.21</v>
      </c>
      <c r="R28">
        <f t="shared" si="6"/>
        <v>0.004063275135023508</v>
      </c>
    </row>
    <row r="29" spans="1:18" ht="12.75">
      <c r="A29" t="s">
        <v>34</v>
      </c>
      <c r="C29" s="28">
        <v>41901.524</v>
      </c>
      <c r="D29" s="28"/>
      <c r="E29">
        <f t="shared" si="0"/>
        <v>-927.9828727131189</v>
      </c>
      <c r="F29">
        <f t="shared" si="1"/>
        <v>-928</v>
      </c>
      <c r="G29">
        <f t="shared" si="2"/>
        <v>0.03299999999580905</v>
      </c>
      <c r="I29">
        <f t="shared" si="3"/>
        <v>0.03299999999580905</v>
      </c>
      <c r="O29">
        <f t="shared" si="4"/>
        <v>0.0882646772519482</v>
      </c>
      <c r="Q29" s="2">
        <f t="shared" si="5"/>
        <v>26883.023999999998</v>
      </c>
      <c r="R29">
        <f t="shared" si="6"/>
        <v>0.003054184552225224</v>
      </c>
    </row>
    <row r="30" spans="1:18" ht="12.75">
      <c r="A30" t="s">
        <v>35</v>
      </c>
      <c r="C30" s="28">
        <v>42899.543</v>
      </c>
      <c r="D30" s="28"/>
      <c r="E30">
        <f t="shared" si="0"/>
        <v>-410.0023355391211</v>
      </c>
      <c r="F30">
        <f t="shared" si="1"/>
        <v>-410</v>
      </c>
      <c r="G30">
        <f t="shared" si="2"/>
        <v>-0.00450000000273576</v>
      </c>
      <c r="I30">
        <f t="shared" si="3"/>
        <v>-0.00450000000273576</v>
      </c>
      <c r="O30">
        <f t="shared" si="4"/>
        <v>0.06876243464193507</v>
      </c>
      <c r="Q30" s="2">
        <f t="shared" si="5"/>
        <v>27881.042999999998</v>
      </c>
      <c r="R30">
        <f t="shared" si="6"/>
        <v>0.005367384330064665</v>
      </c>
    </row>
    <row r="31" spans="1:18" ht="12.75">
      <c r="A31" t="s">
        <v>36</v>
      </c>
      <c r="C31" s="28">
        <v>42953.515</v>
      </c>
      <c r="D31" s="28"/>
      <c r="E31">
        <f t="shared" si="0"/>
        <v>-381.9903983391722</v>
      </c>
      <c r="F31">
        <f t="shared" si="1"/>
        <v>-382</v>
      </c>
      <c r="G31">
        <f t="shared" si="2"/>
        <v>0.018499999998311978</v>
      </c>
      <c r="I31">
        <f t="shared" si="3"/>
        <v>0.018499999998311978</v>
      </c>
      <c r="O31">
        <f t="shared" si="4"/>
        <v>0.06770825936571814</v>
      </c>
      <c r="Q31" s="2">
        <f t="shared" si="5"/>
        <v>27935.015</v>
      </c>
      <c r="R31">
        <f t="shared" si="6"/>
        <v>0.0024214527899699165</v>
      </c>
    </row>
    <row r="32" spans="1:18" ht="12.75">
      <c r="A32" t="s">
        <v>37</v>
      </c>
      <c r="C32" s="28">
        <v>43458.311</v>
      </c>
      <c r="D32" s="28"/>
      <c r="E32">
        <f t="shared" si="0"/>
        <v>-119.99688594783854</v>
      </c>
      <c r="F32">
        <f t="shared" si="1"/>
        <v>-120</v>
      </c>
      <c r="G32">
        <f t="shared" si="2"/>
        <v>0.006000000001222361</v>
      </c>
      <c r="I32">
        <f t="shared" si="3"/>
        <v>0.006000000001222361</v>
      </c>
      <c r="O32">
        <f t="shared" si="4"/>
        <v>0.05784419070968834</v>
      </c>
      <c r="Q32" s="2">
        <f t="shared" si="5"/>
        <v>28439.811</v>
      </c>
      <c r="R32">
        <f t="shared" si="6"/>
        <v>0.00268782011021579</v>
      </c>
    </row>
    <row r="33" spans="1:18" ht="12.75">
      <c r="A33" t="s">
        <v>38</v>
      </c>
      <c r="C33" s="28">
        <v>43662.551</v>
      </c>
      <c r="D33" s="28"/>
      <c r="E33">
        <f t="shared" si="0"/>
        <v>-13.994550408719316</v>
      </c>
      <c r="F33">
        <f t="shared" si="1"/>
        <v>-14</v>
      </c>
      <c r="G33">
        <f t="shared" si="2"/>
        <v>0.010499999996682163</v>
      </c>
      <c r="I33">
        <f t="shared" si="3"/>
        <v>0.010499999996682163</v>
      </c>
      <c r="O33">
        <f t="shared" si="4"/>
        <v>0.05385338430686712</v>
      </c>
      <c r="Q33" s="2">
        <f t="shared" si="5"/>
        <v>28644.051</v>
      </c>
      <c r="R33">
        <f t="shared" si="6"/>
        <v>0.001879515931146591</v>
      </c>
    </row>
    <row r="34" spans="1:18" ht="12.75">
      <c r="A34" t="s">
        <v>17</v>
      </c>
      <c r="C34" s="28">
        <v>43689.515</v>
      </c>
      <c r="D34" s="28" t="s">
        <v>31</v>
      </c>
      <c r="E34">
        <f t="shared" si="0"/>
        <v>0</v>
      </c>
      <c r="F34">
        <f t="shared" si="1"/>
        <v>0</v>
      </c>
      <c r="G34">
        <f t="shared" si="2"/>
        <v>0</v>
      </c>
      <c r="H34">
        <f>G34</f>
        <v>0</v>
      </c>
      <c r="O34">
        <f t="shared" si="4"/>
        <v>0.053326296668758655</v>
      </c>
      <c r="Q34" s="2">
        <f t="shared" si="5"/>
        <v>28671.015</v>
      </c>
      <c r="R34">
        <f t="shared" si="6"/>
        <v>0.0028436939164044606</v>
      </c>
    </row>
    <row r="35" spans="1:18" ht="12.75">
      <c r="A35" t="s">
        <v>39</v>
      </c>
      <c r="C35" s="28">
        <v>46321.397</v>
      </c>
      <c r="D35" s="28"/>
      <c r="E35">
        <f t="shared" si="0"/>
        <v>1365.9696379914353</v>
      </c>
      <c r="F35">
        <f t="shared" si="1"/>
        <v>1366</v>
      </c>
      <c r="G35">
        <f t="shared" si="2"/>
        <v>-0.05849999999918509</v>
      </c>
      <c r="I35">
        <f aca="true" t="shared" si="7" ref="I35:I45">+G35</f>
        <v>-0.05849999999918509</v>
      </c>
      <c r="O35">
        <f t="shared" si="4"/>
        <v>0.0018976028361757658</v>
      </c>
      <c r="Q35" s="2">
        <f t="shared" si="5"/>
        <v>31302.896999999997</v>
      </c>
      <c r="R35">
        <f t="shared" si="6"/>
        <v>0.00364787042825799</v>
      </c>
    </row>
    <row r="36" spans="1:18" ht="12.75">
      <c r="A36" t="s">
        <v>40</v>
      </c>
      <c r="C36" s="28">
        <v>46348.384</v>
      </c>
      <c r="D36" s="28"/>
      <c r="E36">
        <f t="shared" si="0"/>
        <v>1379.9761256001032</v>
      </c>
      <c r="F36">
        <f t="shared" si="1"/>
        <v>1380</v>
      </c>
      <c r="G36">
        <f t="shared" si="2"/>
        <v>-0.046000000002095476</v>
      </c>
      <c r="I36">
        <f t="shared" si="7"/>
        <v>-0.046000000002095476</v>
      </c>
      <c r="O36">
        <f t="shared" si="4"/>
        <v>0.0013705151980673083</v>
      </c>
      <c r="Q36" s="2">
        <f t="shared" si="5"/>
        <v>31329.884</v>
      </c>
      <c r="R36">
        <f t="shared" si="6"/>
        <v>0.0022439657103288536</v>
      </c>
    </row>
    <row r="37" spans="1:18" ht="12.75">
      <c r="A37" t="s">
        <v>41</v>
      </c>
      <c r="C37" s="28">
        <v>46348.386</v>
      </c>
      <c r="D37" s="28"/>
      <c r="E37">
        <f t="shared" si="0"/>
        <v>1379.9771636174903</v>
      </c>
      <c r="F37">
        <f t="shared" si="1"/>
        <v>1380</v>
      </c>
      <c r="G37">
        <f t="shared" si="2"/>
        <v>-0.04400000000168802</v>
      </c>
      <c r="I37">
        <f t="shared" si="7"/>
        <v>-0.04400000000168802</v>
      </c>
      <c r="O37">
        <f t="shared" si="4"/>
        <v>0.0013705151980673083</v>
      </c>
      <c r="Q37" s="2">
        <f t="shared" si="5"/>
        <v>31329.886</v>
      </c>
      <c r="R37">
        <f t="shared" si="6"/>
        <v>0.0020584836494912293</v>
      </c>
    </row>
    <row r="38" spans="1:18" ht="12.75">
      <c r="A38" t="s">
        <v>42</v>
      </c>
      <c r="C38" s="28">
        <v>47003.441</v>
      </c>
      <c r="D38" s="28"/>
      <c r="E38">
        <f t="shared" si="0"/>
        <v>1719.9564032697544</v>
      </c>
      <c r="F38">
        <f t="shared" si="1"/>
        <v>1720</v>
      </c>
      <c r="G38">
        <f t="shared" si="2"/>
        <v>-0.08400000000256114</v>
      </c>
      <c r="I38">
        <f t="shared" si="7"/>
        <v>-0.08400000000256114</v>
      </c>
      <c r="O38">
        <f t="shared" si="4"/>
        <v>-0.011430184584566794</v>
      </c>
      <c r="Q38" s="2">
        <f t="shared" si="5"/>
        <v>31984.941</v>
      </c>
      <c r="R38">
        <f t="shared" si="6"/>
        <v>0.00526637810980177</v>
      </c>
    </row>
    <row r="39" spans="1:18" ht="12.75">
      <c r="A39" t="s">
        <v>42</v>
      </c>
      <c r="C39" s="28">
        <v>47003.465</v>
      </c>
      <c r="D39" s="28"/>
      <c r="E39">
        <f t="shared" si="0"/>
        <v>1719.9688594783947</v>
      </c>
      <c r="F39">
        <f t="shared" si="1"/>
        <v>1720</v>
      </c>
      <c r="G39">
        <f t="shared" si="2"/>
        <v>-0.06000000000494765</v>
      </c>
      <c r="I39">
        <f t="shared" si="7"/>
        <v>-0.06000000000494765</v>
      </c>
      <c r="O39">
        <f t="shared" si="4"/>
        <v>-0.011430184584566794</v>
      </c>
      <c r="Q39" s="2">
        <f t="shared" si="5"/>
        <v>31984.964999999997</v>
      </c>
      <c r="R39">
        <f t="shared" si="6"/>
        <v>0.0023590269699698663</v>
      </c>
    </row>
    <row r="40" spans="1:18" ht="12.75">
      <c r="A40" t="s">
        <v>42</v>
      </c>
      <c r="C40" s="28">
        <v>47030.426</v>
      </c>
      <c r="D40" s="28"/>
      <c r="E40">
        <f t="shared" si="0"/>
        <v>1733.9618528610356</v>
      </c>
      <c r="F40">
        <f t="shared" si="1"/>
        <v>1734</v>
      </c>
      <c r="G40">
        <f t="shared" si="2"/>
        <v>-0.07349999999860302</v>
      </c>
      <c r="I40">
        <f t="shared" si="7"/>
        <v>-0.07349999999860302</v>
      </c>
      <c r="O40">
        <f t="shared" si="4"/>
        <v>-0.011957272222675258</v>
      </c>
      <c r="Q40" s="2">
        <f t="shared" si="5"/>
        <v>32011.926</v>
      </c>
      <c r="R40">
        <f t="shared" si="6"/>
        <v>0.00378750734210195</v>
      </c>
    </row>
    <row r="41" spans="1:18" ht="12.75">
      <c r="A41" t="s">
        <v>43</v>
      </c>
      <c r="C41" s="28">
        <v>47057.43</v>
      </c>
      <c r="D41" s="28"/>
      <c r="E41">
        <f t="shared" si="0"/>
        <v>1747.977163617491</v>
      </c>
      <c r="F41">
        <f t="shared" si="1"/>
        <v>1748</v>
      </c>
      <c r="G41">
        <f t="shared" si="2"/>
        <v>-0.04400000000168802</v>
      </c>
      <c r="I41">
        <f t="shared" si="7"/>
        <v>-0.04400000000168802</v>
      </c>
      <c r="O41">
        <f t="shared" si="4"/>
        <v>-0.012484359860783723</v>
      </c>
      <c r="Q41" s="2">
        <f t="shared" si="5"/>
        <v>32038.93</v>
      </c>
      <c r="R41">
        <f t="shared" si="6"/>
        <v>0.0009932355734909783</v>
      </c>
    </row>
    <row r="42" spans="1:18" ht="12.75">
      <c r="A42" s="52" t="s">
        <v>158</v>
      </c>
      <c r="B42" s="54" t="s">
        <v>30</v>
      </c>
      <c r="C42" s="52">
        <v>47762.59</v>
      </c>
      <c r="D42" s="52" t="s">
        <v>71</v>
      </c>
      <c r="E42">
        <f t="shared" si="0"/>
        <v>2113.9613338523404</v>
      </c>
      <c r="F42">
        <f t="shared" si="1"/>
        <v>2114</v>
      </c>
      <c r="G42">
        <f t="shared" si="2"/>
        <v>-0.07450000000244472</v>
      </c>
      <c r="I42">
        <f t="shared" si="7"/>
        <v>-0.07450000000244472</v>
      </c>
      <c r="O42">
        <f t="shared" si="4"/>
        <v>-0.026263936685619257</v>
      </c>
      <c r="Q42" s="2">
        <f t="shared" si="5"/>
        <v>32744.089999999997</v>
      </c>
      <c r="R42">
        <f t="shared" si="6"/>
        <v>0.0023267178043047954</v>
      </c>
    </row>
    <row r="43" spans="1:18" ht="12.75">
      <c r="A43" t="s">
        <v>44</v>
      </c>
      <c r="C43" s="28">
        <v>48448.502</v>
      </c>
      <c r="D43" s="28">
        <v>0.006</v>
      </c>
      <c r="E43">
        <f t="shared" si="0"/>
        <v>2469.955624756715</v>
      </c>
      <c r="F43">
        <f t="shared" si="1"/>
        <v>2470</v>
      </c>
      <c r="G43">
        <f t="shared" si="2"/>
        <v>-0.08550000000104774</v>
      </c>
      <c r="I43">
        <f t="shared" si="7"/>
        <v>-0.08550000000104774</v>
      </c>
      <c r="O43">
        <f t="shared" si="4"/>
        <v>-0.039667022340377306</v>
      </c>
      <c r="Q43" s="2">
        <f t="shared" si="5"/>
        <v>33430.002</v>
      </c>
      <c r="R43">
        <f t="shared" si="6"/>
        <v>0.0021006618412435147</v>
      </c>
    </row>
    <row r="44" spans="1:18" ht="12.75">
      <c r="A44" t="s">
        <v>45</v>
      </c>
      <c r="C44" s="28">
        <v>49211.45</v>
      </c>
      <c r="D44" s="28"/>
      <c r="E44">
        <f t="shared" si="0"/>
        <v>2865.932269365511</v>
      </c>
      <c r="F44">
        <f t="shared" si="1"/>
        <v>2866</v>
      </c>
      <c r="G44">
        <f t="shared" si="2"/>
        <v>-0.1304999999993015</v>
      </c>
      <c r="I44">
        <f t="shared" si="7"/>
        <v>-0.1304999999993015</v>
      </c>
      <c r="O44">
        <f t="shared" si="4"/>
        <v>-0.05457607267544526</v>
      </c>
      <c r="Q44" s="2">
        <f t="shared" si="5"/>
        <v>34192.95</v>
      </c>
      <c r="R44">
        <f t="shared" si="6"/>
        <v>0.005764442740278206</v>
      </c>
    </row>
    <row r="45" spans="1:18" ht="12.75">
      <c r="A45" t="s">
        <v>46</v>
      </c>
      <c r="C45" s="28">
        <v>49211.475</v>
      </c>
      <c r="D45" s="28">
        <v>0.008</v>
      </c>
      <c r="E45">
        <f t="shared" si="0"/>
        <v>2865.9452445828465</v>
      </c>
      <c r="F45">
        <f t="shared" si="1"/>
        <v>2866</v>
      </c>
      <c r="G45">
        <f t="shared" si="2"/>
        <v>-0.10549999999784632</v>
      </c>
      <c r="I45">
        <f t="shared" si="7"/>
        <v>-0.10549999999784632</v>
      </c>
      <c r="O45">
        <f t="shared" si="4"/>
        <v>-0.05457607267544526</v>
      </c>
      <c r="Q45" s="2">
        <f t="shared" si="5"/>
        <v>34192.975</v>
      </c>
      <c r="R45">
        <f t="shared" si="6"/>
        <v>0.002593246373937185</v>
      </c>
    </row>
    <row r="46" spans="1:21" ht="12.75">
      <c r="A46" s="52" t="s">
        <v>177</v>
      </c>
      <c r="B46" s="54" t="s">
        <v>30</v>
      </c>
      <c r="C46" s="52">
        <v>50683.4467</v>
      </c>
      <c r="D46" s="52" t="s">
        <v>71</v>
      </c>
      <c r="E46">
        <f t="shared" si="0"/>
        <v>3629.9113533151685</v>
      </c>
      <c r="F46">
        <f t="shared" si="1"/>
        <v>3630</v>
      </c>
      <c r="O46">
        <f t="shared" si="4"/>
        <v>-0.08333999806936424</v>
      </c>
      <c r="Q46" s="2">
        <f t="shared" si="5"/>
        <v>35664.9467</v>
      </c>
      <c r="R46">
        <f t="shared" si="6"/>
        <v>0.006945555278201634</v>
      </c>
      <c r="U46">
        <f>+C46-(C$7+F46*C$8)</f>
        <v>-0.17079999999987194</v>
      </c>
    </row>
    <row r="47" spans="1:21" ht="12.75">
      <c r="A47" s="52" t="s">
        <v>177</v>
      </c>
      <c r="B47" s="54" t="s">
        <v>30</v>
      </c>
      <c r="C47" s="52">
        <v>50683.4696</v>
      </c>
      <c r="D47" s="52" t="s">
        <v>71</v>
      </c>
      <c r="E47">
        <f t="shared" si="0"/>
        <v>3629.9232386142453</v>
      </c>
      <c r="F47">
        <f t="shared" si="1"/>
        <v>3630</v>
      </c>
      <c r="O47">
        <f t="shared" si="4"/>
        <v>-0.08333999806936424</v>
      </c>
      <c r="Q47" s="2">
        <f t="shared" si="5"/>
        <v>35664.9696</v>
      </c>
      <c r="R47">
        <f t="shared" si="6"/>
        <v>0.006945555278201634</v>
      </c>
      <c r="U47">
        <f>+C47-(C$7+F47*C$8)</f>
        <v>-0.14790000000357395</v>
      </c>
    </row>
    <row r="48" spans="1:18" ht="12.75">
      <c r="A48" t="s">
        <v>47</v>
      </c>
      <c r="C48" s="28">
        <v>50714.3478</v>
      </c>
      <c r="D48" s="28">
        <v>0.0003</v>
      </c>
      <c r="E48">
        <f t="shared" si="0"/>
        <v>3645.9492928506575</v>
      </c>
      <c r="F48">
        <f t="shared" si="1"/>
        <v>3646</v>
      </c>
      <c r="G48">
        <f aca="true" t="shared" si="8" ref="G48:G54">+C48-(C$7+F48*C$8)</f>
        <v>-0.09769999999844003</v>
      </c>
      <c r="J48">
        <f>+G48</f>
        <v>-0.09769999999844003</v>
      </c>
      <c r="O48">
        <f t="shared" si="4"/>
        <v>-0.0839423839414882</v>
      </c>
      <c r="Q48" s="2">
        <f t="shared" si="5"/>
        <v>35695.8478</v>
      </c>
      <c r="R48">
        <f t="shared" si="6"/>
        <v>0.00018927199957049888</v>
      </c>
    </row>
    <row r="49" spans="1:18" ht="12.75">
      <c r="A49" s="52" t="s">
        <v>192</v>
      </c>
      <c r="B49" s="54" t="s">
        <v>30</v>
      </c>
      <c r="C49" s="52">
        <v>51400.278</v>
      </c>
      <c r="D49" s="52" t="s">
        <v>71</v>
      </c>
      <c r="E49">
        <f t="shared" si="0"/>
        <v>4001.9530297132474</v>
      </c>
      <c r="F49">
        <f t="shared" si="1"/>
        <v>4002</v>
      </c>
      <c r="G49">
        <f t="shared" si="8"/>
        <v>-0.0904999999984284</v>
      </c>
      <c r="I49">
        <f>+G49</f>
        <v>-0.0904999999984284</v>
      </c>
      <c r="O49">
        <f t="shared" si="4"/>
        <v>-0.09734546959624626</v>
      </c>
      <c r="Q49" s="2">
        <f t="shared" si="5"/>
        <v>36381.778</v>
      </c>
      <c r="R49">
        <f t="shared" si="6"/>
        <v>4.686045401464877E-05</v>
      </c>
    </row>
    <row r="50" spans="1:18" ht="12.75">
      <c r="A50" s="52" t="s">
        <v>192</v>
      </c>
      <c r="B50" s="54" t="s">
        <v>30</v>
      </c>
      <c r="C50" s="52">
        <v>51889.6472</v>
      </c>
      <c r="D50" s="52" t="s">
        <v>71</v>
      </c>
      <c r="E50">
        <f t="shared" si="0"/>
        <v>4255.939898793305</v>
      </c>
      <c r="F50">
        <f t="shared" si="1"/>
        <v>4256</v>
      </c>
      <c r="G50">
        <f t="shared" si="8"/>
        <v>-0.1157999999995809</v>
      </c>
      <c r="J50">
        <f>+G50</f>
        <v>-0.1157999999995809</v>
      </c>
      <c r="O50">
        <f t="shared" si="4"/>
        <v>-0.1069083453162141</v>
      </c>
      <c r="Q50" s="2">
        <f t="shared" si="5"/>
        <v>36871.1472</v>
      </c>
      <c r="R50">
        <f t="shared" si="6"/>
        <v>7.906152300823886E-05</v>
      </c>
    </row>
    <row r="51" spans="1:18" ht="12.75">
      <c r="A51" s="12" t="s">
        <v>48</v>
      </c>
      <c r="B51" s="13" t="s">
        <v>30</v>
      </c>
      <c r="C51" s="29">
        <v>52105.4476</v>
      </c>
      <c r="D51" s="29">
        <v>0.0021</v>
      </c>
      <c r="E51">
        <f t="shared" si="0"/>
        <v>4367.942182431556</v>
      </c>
      <c r="F51">
        <f t="shared" si="1"/>
        <v>4368</v>
      </c>
      <c r="G51">
        <f t="shared" si="8"/>
        <v>-0.11140000000159489</v>
      </c>
      <c r="K51">
        <f>+G51</f>
        <v>-0.11140000000159489</v>
      </c>
      <c r="O51">
        <f t="shared" si="4"/>
        <v>-0.11112504642108179</v>
      </c>
      <c r="Q51" s="2">
        <f t="shared" si="5"/>
        <v>37086.9476</v>
      </c>
      <c r="R51">
        <f t="shared" si="6"/>
        <v>7.559947143697611E-08</v>
      </c>
    </row>
    <row r="52" spans="1:18" ht="12.75">
      <c r="A52" s="35" t="s">
        <v>58</v>
      </c>
      <c r="B52" s="36" t="s">
        <v>30</v>
      </c>
      <c r="C52" s="35">
        <v>52841.45063</v>
      </c>
      <c r="D52" s="35">
        <v>0.0029</v>
      </c>
      <c r="E52">
        <f t="shared" si="0"/>
        <v>4749.934153367069</v>
      </c>
      <c r="F52">
        <f t="shared" si="1"/>
        <v>4750</v>
      </c>
      <c r="G52">
        <f t="shared" si="8"/>
        <v>-0.12687000000005355</v>
      </c>
      <c r="K52">
        <f>+G52</f>
        <v>-0.12687000000005355</v>
      </c>
      <c r="O52">
        <f t="shared" si="4"/>
        <v>-0.12550700911804127</v>
      </c>
      <c r="Q52" s="2">
        <f t="shared" si="5"/>
        <v>37822.95063</v>
      </c>
      <c r="R52">
        <f t="shared" si="6"/>
        <v>1.8577441444486052E-06</v>
      </c>
    </row>
    <row r="53" spans="1:18" ht="12.75">
      <c r="A53" s="52" t="s">
        <v>212</v>
      </c>
      <c r="B53" s="54" t="s">
        <v>30</v>
      </c>
      <c r="C53" s="52">
        <v>54313.4899</v>
      </c>
      <c r="D53" s="52" t="s">
        <v>71</v>
      </c>
      <c r="E53">
        <f t="shared" si="0"/>
        <v>5513.935331516804</v>
      </c>
      <c r="F53">
        <f t="shared" si="1"/>
        <v>5514</v>
      </c>
      <c r="G53">
        <f t="shared" si="8"/>
        <v>-0.12459999999555293</v>
      </c>
      <c r="K53">
        <f>+G53</f>
        <v>-0.12459999999555293</v>
      </c>
      <c r="O53">
        <f t="shared" si="4"/>
        <v>-0.15427093451196025</v>
      </c>
      <c r="Q53" s="2">
        <f t="shared" si="5"/>
        <v>39294.9899</v>
      </c>
      <c r="R53">
        <f t="shared" si="6"/>
        <v>0.000880364355076931</v>
      </c>
    </row>
    <row r="54" spans="1:18" ht="12.75">
      <c r="A54" s="37" t="s">
        <v>60</v>
      </c>
      <c r="B54" s="38" t="s">
        <v>30</v>
      </c>
      <c r="C54" s="37">
        <v>56864.4358</v>
      </c>
      <c r="D54" s="37">
        <v>0.001</v>
      </c>
      <c r="E54">
        <f t="shared" si="0"/>
        <v>6837.898429998702</v>
      </c>
      <c r="F54">
        <f t="shared" si="1"/>
        <v>6838</v>
      </c>
      <c r="G54">
        <f t="shared" si="8"/>
        <v>-0.19570000000385335</v>
      </c>
      <c r="J54">
        <f>+G54</f>
        <v>-0.19570000000385335</v>
      </c>
      <c r="O54">
        <f t="shared" si="4"/>
        <v>-0.20411836543021777</v>
      </c>
      <c r="Q54" s="2">
        <f t="shared" si="5"/>
        <v>41845.9358</v>
      </c>
      <c r="R54">
        <f t="shared" si="6"/>
        <v>7.086887645180793E-05</v>
      </c>
    </row>
    <row r="55" spans="1:18" ht="12.75">
      <c r="A55" s="63" t="s">
        <v>1</v>
      </c>
      <c r="B55" s="64" t="s">
        <v>30</v>
      </c>
      <c r="C55" s="65">
        <v>57257.4764</v>
      </c>
      <c r="D55" s="65" t="s">
        <v>2</v>
      </c>
      <c r="E55">
        <f>+(C55-C$7)/C$8</f>
        <v>7041.889918256131</v>
      </c>
      <c r="F55">
        <f>ROUND(2*E55,0)/2</f>
        <v>7042</v>
      </c>
      <c r="G55">
        <f>+C55-(C$7+F55*C$8)</f>
        <v>-0.21209999999700813</v>
      </c>
      <c r="J55">
        <f>+G55</f>
        <v>-0.21209999999700813</v>
      </c>
      <c r="O55">
        <f>+C$11+C$12*$F55</f>
        <v>-0.21179878529979823</v>
      </c>
      <c r="Q55" s="2">
        <f>+C55-15018.5</f>
        <v>42238.9764</v>
      </c>
      <c r="R55">
        <f>(O55-G55)^2</f>
        <v>9.073029381524873E-08</v>
      </c>
    </row>
    <row r="56" spans="1:18" ht="12.75">
      <c r="A56" s="66" t="s">
        <v>0</v>
      </c>
      <c r="B56" s="67" t="s">
        <v>30</v>
      </c>
      <c r="C56" s="67">
        <v>57966.4865</v>
      </c>
      <c r="D56" s="67">
        <v>0.0011</v>
      </c>
      <c r="E56">
        <f>+(C56-C$7)/C$8</f>
        <v>7409.872323861425</v>
      </c>
      <c r="F56">
        <f>ROUND(2*E56,0)/2</f>
        <v>7410</v>
      </c>
      <c r="G56">
        <f>+C56-(C$7+F56*C$8)</f>
        <v>-0.2459999999991851</v>
      </c>
      <c r="J56">
        <f>+G56</f>
        <v>-0.2459999999991851</v>
      </c>
      <c r="O56">
        <f>+C$11+C$12*$F56</f>
        <v>-0.22565366035864926</v>
      </c>
      <c r="Q56" s="2">
        <f>+C56-15018.5</f>
        <v>42947.9865</v>
      </c>
      <c r="R56">
        <f>(O56-G56)^2</f>
        <v>0.00041397353676804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3"/>
  <sheetViews>
    <sheetView zoomScalePageLayoutView="0" workbookViewId="0" topLeftCell="A1">
      <selection activeCell="A31" sqref="A31:D43"/>
    </sheetView>
  </sheetViews>
  <sheetFormatPr defaultColWidth="9.140625" defaultRowHeight="12.75"/>
  <cols>
    <col min="1" max="1" width="19.7109375" style="28" customWidth="1"/>
    <col min="2" max="2" width="4.421875" style="15" customWidth="1"/>
    <col min="3" max="3" width="12.7109375" style="28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28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9" t="s">
        <v>61</v>
      </c>
      <c r="I1" s="40" t="s">
        <v>62</v>
      </c>
      <c r="J1" s="41" t="s">
        <v>63</v>
      </c>
    </row>
    <row r="2" spans="9:10" ht="12.75">
      <c r="I2" s="42" t="s">
        <v>64</v>
      </c>
      <c r="J2" s="43" t="s">
        <v>65</v>
      </c>
    </row>
    <row r="3" spans="1:10" ht="12.75">
      <c r="A3" s="44" t="s">
        <v>66</v>
      </c>
      <c r="I3" s="42" t="s">
        <v>67</v>
      </c>
      <c r="J3" s="43" t="s">
        <v>68</v>
      </c>
    </row>
    <row r="4" spans="9:10" ht="12.75">
      <c r="I4" s="42" t="s">
        <v>69</v>
      </c>
      <c r="J4" s="43" t="s">
        <v>68</v>
      </c>
    </row>
    <row r="5" spans="9:10" ht="13.5" thickBot="1">
      <c r="I5" s="45" t="s">
        <v>70</v>
      </c>
      <c r="J5" s="46" t="s">
        <v>71</v>
      </c>
    </row>
    <row r="10" ht="13.5" thickBot="1"/>
    <row r="11" spans="1:16" ht="12.75" customHeight="1" thickBot="1">
      <c r="A11" s="28" t="str">
        <f aca="true" t="shared" si="0" ref="A11:A43">P11</f>
        <v>IBVS 35 </v>
      </c>
      <c r="B11" s="17" t="str">
        <f aca="true" t="shared" si="1" ref="B11:B43">IF(H11=INT(H11),"I","II")</f>
        <v>I</v>
      </c>
      <c r="C11" s="28">
        <f aca="true" t="shared" si="2" ref="C11:C43">1*G11</f>
        <v>38294.71</v>
      </c>
      <c r="D11" s="15" t="str">
        <f aca="true" t="shared" si="3" ref="D11:D43">VLOOKUP(F11,I$1:J$5,2,FALSE)</f>
        <v>vis</v>
      </c>
      <c r="E11" s="47">
        <f>VLOOKUP(C11,'Active 1'!C$21:E$973,3,FALSE)</f>
        <v>-1400.0007785271823</v>
      </c>
      <c r="F11" s="17" t="s">
        <v>70</v>
      </c>
      <c r="G11" s="15" t="str">
        <f aca="true" t="shared" si="4" ref="G11:G43">MID(I11,3,LEN(I11)-3)</f>
        <v>38294.710</v>
      </c>
      <c r="H11" s="28">
        <f aca="true" t="shared" si="5" ref="H11:H43">1*K11</f>
        <v>-1400</v>
      </c>
      <c r="I11" s="48" t="s">
        <v>99</v>
      </c>
      <c r="J11" s="49" t="s">
        <v>100</v>
      </c>
      <c r="K11" s="48">
        <v>-1400</v>
      </c>
      <c r="L11" s="48" t="s">
        <v>72</v>
      </c>
      <c r="M11" s="49" t="s">
        <v>101</v>
      </c>
      <c r="N11" s="49"/>
      <c r="O11" s="50" t="s">
        <v>102</v>
      </c>
      <c r="P11" s="51" t="s">
        <v>103</v>
      </c>
    </row>
    <row r="12" spans="1:16" ht="12.75" customHeight="1" thickBot="1">
      <c r="A12" s="28" t="str">
        <f t="shared" si="0"/>
        <v> BBS 11 </v>
      </c>
      <c r="B12" s="17" t="str">
        <f t="shared" si="1"/>
        <v>I</v>
      </c>
      <c r="C12" s="28">
        <f t="shared" si="2"/>
        <v>41901.524</v>
      </c>
      <c r="D12" s="15" t="str">
        <f t="shared" si="3"/>
        <v>vis</v>
      </c>
      <c r="E12" s="47">
        <f>VLOOKUP(C12,'Active 1'!C$21:E$973,3,FALSE)</f>
        <v>-463.99986505528886</v>
      </c>
      <c r="F12" s="17" t="s">
        <v>70</v>
      </c>
      <c r="G12" s="15" t="str">
        <f t="shared" si="4"/>
        <v>41901.524</v>
      </c>
      <c r="H12" s="28">
        <f t="shared" si="5"/>
        <v>-464</v>
      </c>
      <c r="I12" s="48" t="s">
        <v>104</v>
      </c>
      <c r="J12" s="49" t="s">
        <v>105</v>
      </c>
      <c r="K12" s="48">
        <v>-464</v>
      </c>
      <c r="L12" s="48" t="s">
        <v>106</v>
      </c>
      <c r="M12" s="49" t="s">
        <v>101</v>
      </c>
      <c r="N12" s="49"/>
      <c r="O12" s="50" t="s">
        <v>107</v>
      </c>
      <c r="P12" s="50" t="s">
        <v>108</v>
      </c>
    </row>
    <row r="13" spans="1:16" ht="12.75" customHeight="1" thickBot="1">
      <c r="A13" s="28" t="str">
        <f t="shared" si="0"/>
        <v> BBS 27 </v>
      </c>
      <c r="B13" s="17" t="str">
        <f t="shared" si="1"/>
        <v>I</v>
      </c>
      <c r="C13" s="28">
        <f t="shared" si="2"/>
        <v>42899.543</v>
      </c>
      <c r="D13" s="15" t="str">
        <f t="shared" si="3"/>
        <v>vis</v>
      </c>
      <c r="E13" s="47">
        <f>VLOOKUP(C13,'Active 1'!C$21:E$973,3,FALSE)</f>
        <v>-205.0048917457957</v>
      </c>
      <c r="F13" s="17" t="s">
        <v>70</v>
      </c>
      <c r="G13" s="15" t="str">
        <f t="shared" si="4"/>
        <v>42899.543</v>
      </c>
      <c r="H13" s="28">
        <f t="shared" si="5"/>
        <v>-205</v>
      </c>
      <c r="I13" s="48" t="s">
        <v>109</v>
      </c>
      <c r="J13" s="49" t="s">
        <v>110</v>
      </c>
      <c r="K13" s="48">
        <v>-205</v>
      </c>
      <c r="L13" s="48" t="s">
        <v>111</v>
      </c>
      <c r="M13" s="49" t="s">
        <v>101</v>
      </c>
      <c r="N13" s="49"/>
      <c r="O13" s="50" t="s">
        <v>107</v>
      </c>
      <c r="P13" s="50" t="s">
        <v>112</v>
      </c>
    </row>
    <row r="14" spans="1:16" ht="12.75" customHeight="1" thickBot="1">
      <c r="A14" s="28" t="str">
        <f t="shared" si="0"/>
        <v> BBS 28 </v>
      </c>
      <c r="B14" s="17" t="str">
        <f t="shared" si="1"/>
        <v>I</v>
      </c>
      <c r="C14" s="28">
        <f t="shared" si="2"/>
        <v>42953.515</v>
      </c>
      <c r="D14" s="15" t="str">
        <f t="shared" si="3"/>
        <v>vis</v>
      </c>
      <c r="E14" s="47">
        <f>VLOOKUP(C14,'Active 1'!C$21:E$973,3,FALSE)</f>
        <v>-190.9986687185183</v>
      </c>
      <c r="F14" s="17" t="s">
        <v>70</v>
      </c>
      <c r="G14" s="15" t="str">
        <f t="shared" si="4"/>
        <v>42953.515</v>
      </c>
      <c r="H14" s="28">
        <f t="shared" si="5"/>
        <v>-191</v>
      </c>
      <c r="I14" s="48" t="s">
        <v>113</v>
      </c>
      <c r="J14" s="49" t="s">
        <v>114</v>
      </c>
      <c r="K14" s="48">
        <v>-191</v>
      </c>
      <c r="L14" s="48" t="s">
        <v>115</v>
      </c>
      <c r="M14" s="49" t="s">
        <v>101</v>
      </c>
      <c r="N14" s="49"/>
      <c r="O14" s="50" t="s">
        <v>107</v>
      </c>
      <c r="P14" s="50" t="s">
        <v>116</v>
      </c>
    </row>
    <row r="15" spans="1:16" ht="12.75" customHeight="1" thickBot="1">
      <c r="A15" s="28" t="str">
        <f t="shared" si="0"/>
        <v> BBS 35 </v>
      </c>
      <c r="B15" s="17" t="str">
        <f t="shared" si="1"/>
        <v>I</v>
      </c>
      <c r="C15" s="28">
        <f t="shared" si="2"/>
        <v>43458.311</v>
      </c>
      <c r="D15" s="15" t="str">
        <f t="shared" si="3"/>
        <v>vis</v>
      </c>
      <c r="E15" s="47">
        <f>VLOOKUP(C15,'Active 1'!C$21:E$973,3,FALSE)</f>
        <v>-59.999532883690094</v>
      </c>
      <c r="F15" s="17" t="s">
        <v>70</v>
      </c>
      <c r="G15" s="15" t="str">
        <f t="shared" si="4"/>
        <v>43458.311</v>
      </c>
      <c r="H15" s="28">
        <f t="shared" si="5"/>
        <v>-60</v>
      </c>
      <c r="I15" s="48" t="s">
        <v>117</v>
      </c>
      <c r="J15" s="49" t="s">
        <v>118</v>
      </c>
      <c r="K15" s="48">
        <v>-60</v>
      </c>
      <c r="L15" s="48" t="s">
        <v>119</v>
      </c>
      <c r="M15" s="49" t="s">
        <v>101</v>
      </c>
      <c r="N15" s="49"/>
      <c r="O15" s="50" t="s">
        <v>120</v>
      </c>
      <c r="P15" s="50" t="s">
        <v>121</v>
      </c>
    </row>
    <row r="16" spans="1:16" ht="12.75" customHeight="1" thickBot="1">
      <c r="A16" s="28" t="str">
        <f t="shared" si="0"/>
        <v> BBS 37 </v>
      </c>
      <c r="B16" s="17" t="str">
        <f t="shared" si="1"/>
        <v>I</v>
      </c>
      <c r="C16" s="28">
        <f t="shared" si="2"/>
        <v>43662.551</v>
      </c>
      <c r="D16" s="15" t="str">
        <f t="shared" si="3"/>
        <v>vis</v>
      </c>
      <c r="E16" s="47">
        <f>VLOOKUP(C16,'Active 1'!C$21:E$973,3,FALSE)</f>
        <v>-6.997402314301789</v>
      </c>
      <c r="F16" s="17" t="s">
        <v>70</v>
      </c>
      <c r="G16" s="15" t="str">
        <f t="shared" si="4"/>
        <v>43662.551</v>
      </c>
      <c r="H16" s="28">
        <f t="shared" si="5"/>
        <v>-7</v>
      </c>
      <c r="I16" s="48" t="s">
        <v>122</v>
      </c>
      <c r="J16" s="49" t="s">
        <v>123</v>
      </c>
      <c r="K16" s="48">
        <v>-7</v>
      </c>
      <c r="L16" s="48" t="s">
        <v>124</v>
      </c>
      <c r="M16" s="49" t="s">
        <v>101</v>
      </c>
      <c r="N16" s="49"/>
      <c r="O16" s="50" t="s">
        <v>107</v>
      </c>
      <c r="P16" s="50" t="s">
        <v>125</v>
      </c>
    </row>
    <row r="17" spans="1:16" ht="12.75" customHeight="1" thickBot="1">
      <c r="A17" s="28" t="str">
        <f t="shared" si="0"/>
        <v> BBS 37 </v>
      </c>
      <c r="B17" s="17" t="str">
        <f t="shared" si="1"/>
        <v>I</v>
      </c>
      <c r="C17" s="28">
        <f t="shared" si="2"/>
        <v>43689.515</v>
      </c>
      <c r="D17" s="15" t="str">
        <f t="shared" si="3"/>
        <v>vis</v>
      </c>
      <c r="E17" s="47">
        <f>VLOOKUP(C17,'Active 1'!C$21:E$973,3,FALSE)</f>
        <v>0</v>
      </c>
      <c r="F17" s="17" t="s">
        <v>70</v>
      </c>
      <c r="G17" s="15" t="str">
        <f t="shared" si="4"/>
        <v>43689.515</v>
      </c>
      <c r="H17" s="28">
        <f t="shared" si="5"/>
        <v>0</v>
      </c>
      <c r="I17" s="48" t="s">
        <v>126</v>
      </c>
      <c r="J17" s="49" t="s">
        <v>127</v>
      </c>
      <c r="K17" s="48">
        <v>0</v>
      </c>
      <c r="L17" s="48" t="s">
        <v>128</v>
      </c>
      <c r="M17" s="49" t="s">
        <v>101</v>
      </c>
      <c r="N17" s="49"/>
      <c r="O17" s="50" t="s">
        <v>107</v>
      </c>
      <c r="P17" s="50" t="s">
        <v>125</v>
      </c>
    </row>
    <row r="18" spans="1:16" ht="12.75" customHeight="1" thickBot="1">
      <c r="A18" s="28" t="str">
        <f t="shared" si="0"/>
        <v> BBS 78 </v>
      </c>
      <c r="B18" s="17" t="str">
        <f t="shared" si="1"/>
        <v>I</v>
      </c>
      <c r="C18" s="28">
        <f t="shared" si="2"/>
        <v>46321.397</v>
      </c>
      <c r="D18" s="15" t="str">
        <f t="shared" si="3"/>
        <v>vis</v>
      </c>
      <c r="E18" s="47">
        <f>VLOOKUP(C18,'Active 1'!C$21:E$973,3,FALSE)</f>
        <v>682.9972258481399</v>
      </c>
      <c r="F18" s="17" t="s">
        <v>70</v>
      </c>
      <c r="G18" s="15" t="str">
        <f t="shared" si="4"/>
        <v>46321.397</v>
      </c>
      <c r="H18" s="28">
        <f t="shared" si="5"/>
        <v>683</v>
      </c>
      <c r="I18" s="48" t="s">
        <v>129</v>
      </c>
      <c r="J18" s="49" t="s">
        <v>130</v>
      </c>
      <c r="K18" s="48">
        <v>683</v>
      </c>
      <c r="L18" s="48" t="s">
        <v>131</v>
      </c>
      <c r="M18" s="49" t="s">
        <v>101</v>
      </c>
      <c r="N18" s="49"/>
      <c r="O18" s="50" t="s">
        <v>120</v>
      </c>
      <c r="P18" s="50" t="s">
        <v>132</v>
      </c>
    </row>
    <row r="19" spans="1:16" ht="12.75" customHeight="1" thickBot="1">
      <c r="A19" s="28" t="str">
        <f t="shared" si="0"/>
        <v> BBS 79 </v>
      </c>
      <c r="B19" s="17" t="str">
        <f t="shared" si="1"/>
        <v>I</v>
      </c>
      <c r="C19" s="28">
        <f t="shared" si="2"/>
        <v>46348.386</v>
      </c>
      <c r="D19" s="15" t="str">
        <f t="shared" si="3"/>
        <v>vis</v>
      </c>
      <c r="E19" s="47">
        <f>VLOOKUP(C19,'Active 1'!C$21:E$973,3,FALSE)</f>
        <v>690.0011158889611</v>
      </c>
      <c r="F19" s="17" t="s">
        <v>70</v>
      </c>
      <c r="G19" s="15" t="str">
        <f t="shared" si="4"/>
        <v>46348.386</v>
      </c>
      <c r="H19" s="28">
        <f t="shared" si="5"/>
        <v>690</v>
      </c>
      <c r="I19" s="48" t="s">
        <v>133</v>
      </c>
      <c r="J19" s="49" t="s">
        <v>134</v>
      </c>
      <c r="K19" s="48">
        <v>690</v>
      </c>
      <c r="L19" s="48" t="s">
        <v>135</v>
      </c>
      <c r="M19" s="49" t="s">
        <v>101</v>
      </c>
      <c r="N19" s="49"/>
      <c r="O19" s="50" t="s">
        <v>136</v>
      </c>
      <c r="P19" s="50" t="s">
        <v>137</v>
      </c>
    </row>
    <row r="20" spans="1:16" ht="12.75" customHeight="1" thickBot="1">
      <c r="A20" s="28" t="str">
        <f t="shared" si="0"/>
        <v> BRNO 30 </v>
      </c>
      <c r="B20" s="17" t="str">
        <f t="shared" si="1"/>
        <v>I</v>
      </c>
      <c r="C20" s="28">
        <f t="shared" si="2"/>
        <v>47003.441</v>
      </c>
      <c r="D20" s="15" t="str">
        <f t="shared" si="3"/>
        <v>vis</v>
      </c>
      <c r="E20" s="47">
        <f>VLOOKUP(C20,'Active 1'!C$21:E$973,3,FALSE)</f>
        <v>859.9938236843539</v>
      </c>
      <c r="F20" s="17" t="s">
        <v>70</v>
      </c>
      <c r="G20" s="15" t="str">
        <f t="shared" si="4"/>
        <v>47003.441</v>
      </c>
      <c r="H20" s="28">
        <f t="shared" si="5"/>
        <v>860</v>
      </c>
      <c r="I20" s="48" t="s">
        <v>138</v>
      </c>
      <c r="J20" s="49" t="s">
        <v>139</v>
      </c>
      <c r="K20" s="48">
        <v>860</v>
      </c>
      <c r="L20" s="48" t="s">
        <v>140</v>
      </c>
      <c r="M20" s="49" t="s">
        <v>101</v>
      </c>
      <c r="N20" s="49"/>
      <c r="O20" s="50" t="s">
        <v>141</v>
      </c>
      <c r="P20" s="50" t="s">
        <v>142</v>
      </c>
    </row>
    <row r="21" spans="1:16" ht="12.75" customHeight="1" thickBot="1">
      <c r="A21" s="28" t="str">
        <f t="shared" si="0"/>
        <v> BRNO 30 </v>
      </c>
      <c r="B21" s="17" t="str">
        <f t="shared" si="1"/>
        <v>I</v>
      </c>
      <c r="C21" s="28">
        <f t="shared" si="2"/>
        <v>47003.465</v>
      </c>
      <c r="D21" s="15" t="str">
        <f t="shared" si="3"/>
        <v>vis</v>
      </c>
      <c r="E21" s="47">
        <f>VLOOKUP(C21,'Active 1'!C$21:E$973,3,FALSE)</f>
        <v>860.0000519018114</v>
      </c>
      <c r="F21" s="17" t="s">
        <v>70</v>
      </c>
      <c r="G21" s="15" t="str">
        <f t="shared" si="4"/>
        <v>47003.465</v>
      </c>
      <c r="H21" s="28">
        <f t="shared" si="5"/>
        <v>860</v>
      </c>
      <c r="I21" s="48" t="s">
        <v>143</v>
      </c>
      <c r="J21" s="49" t="s">
        <v>144</v>
      </c>
      <c r="K21" s="48">
        <v>860</v>
      </c>
      <c r="L21" s="48" t="s">
        <v>128</v>
      </c>
      <c r="M21" s="49" t="s">
        <v>101</v>
      </c>
      <c r="N21" s="49"/>
      <c r="O21" s="50" t="s">
        <v>145</v>
      </c>
      <c r="P21" s="50" t="s">
        <v>142</v>
      </c>
    </row>
    <row r="22" spans="1:16" ht="12.75" customHeight="1" thickBot="1">
      <c r="A22" s="28" t="str">
        <f t="shared" si="0"/>
        <v> BRNO 30 </v>
      </c>
      <c r="B22" s="17" t="str">
        <f t="shared" si="1"/>
        <v>I</v>
      </c>
      <c r="C22" s="28">
        <f t="shared" si="2"/>
        <v>47030.426</v>
      </c>
      <c r="D22" s="15" t="str">
        <f t="shared" si="3"/>
        <v>vis</v>
      </c>
      <c r="E22" s="47">
        <f>VLOOKUP(C22,'Active 1'!C$21:E$973,3,FALSE)</f>
        <v>866.9966756889318</v>
      </c>
      <c r="F22" s="17" t="s">
        <v>70</v>
      </c>
      <c r="G22" s="15" t="str">
        <f t="shared" si="4"/>
        <v>47030.426</v>
      </c>
      <c r="H22" s="28">
        <f t="shared" si="5"/>
        <v>867</v>
      </c>
      <c r="I22" s="48" t="s">
        <v>146</v>
      </c>
      <c r="J22" s="49" t="s">
        <v>147</v>
      </c>
      <c r="K22" s="48">
        <v>867</v>
      </c>
      <c r="L22" s="48" t="s">
        <v>148</v>
      </c>
      <c r="M22" s="49" t="s">
        <v>101</v>
      </c>
      <c r="N22" s="49"/>
      <c r="O22" s="50" t="s">
        <v>149</v>
      </c>
      <c r="P22" s="50" t="s">
        <v>142</v>
      </c>
    </row>
    <row r="23" spans="1:16" ht="12.75" customHeight="1" thickBot="1">
      <c r="A23" s="28" t="str">
        <f t="shared" si="0"/>
        <v> BBS 86 </v>
      </c>
      <c r="B23" s="17" t="str">
        <f t="shared" si="1"/>
        <v>I</v>
      </c>
      <c r="C23" s="28">
        <f t="shared" si="2"/>
        <v>47057.43</v>
      </c>
      <c r="D23" s="15" t="str">
        <f t="shared" si="3"/>
        <v>vis</v>
      </c>
      <c r="E23" s="47">
        <f>VLOOKUP(C23,'Active 1'!C$21:E$973,3,FALSE)</f>
        <v>874.004458365664</v>
      </c>
      <c r="F23" s="17" t="s">
        <v>70</v>
      </c>
      <c r="G23" s="15" t="str">
        <f t="shared" si="4"/>
        <v>47057.43</v>
      </c>
      <c r="H23" s="28">
        <f t="shared" si="5"/>
        <v>874</v>
      </c>
      <c r="I23" s="48" t="s">
        <v>150</v>
      </c>
      <c r="J23" s="49" t="s">
        <v>151</v>
      </c>
      <c r="K23" s="48">
        <v>874</v>
      </c>
      <c r="L23" s="48" t="s">
        <v>152</v>
      </c>
      <c r="M23" s="49" t="s">
        <v>101</v>
      </c>
      <c r="N23" s="49"/>
      <c r="O23" s="50" t="s">
        <v>136</v>
      </c>
      <c r="P23" s="50" t="s">
        <v>153</v>
      </c>
    </row>
    <row r="24" spans="1:16" ht="12.75" customHeight="1" thickBot="1">
      <c r="A24" s="28" t="str">
        <f t="shared" si="0"/>
        <v> BBS 98 </v>
      </c>
      <c r="B24" s="17" t="str">
        <f t="shared" si="1"/>
        <v>I</v>
      </c>
      <c r="C24" s="28">
        <f t="shared" si="2"/>
        <v>48448.502</v>
      </c>
      <c r="D24" s="15" t="str">
        <f t="shared" si="3"/>
        <v>vis</v>
      </c>
      <c r="E24" s="47">
        <f>VLOOKUP(C24,'Active 1'!C$21:E$973,3,FALSE)</f>
        <v>1235.000246533608</v>
      </c>
      <c r="F24" s="17" t="s">
        <v>70</v>
      </c>
      <c r="G24" s="15" t="str">
        <f t="shared" si="4"/>
        <v>48448.502</v>
      </c>
      <c r="H24" s="28">
        <f t="shared" si="5"/>
        <v>1235</v>
      </c>
      <c r="I24" s="48" t="s">
        <v>159</v>
      </c>
      <c r="J24" s="49" t="s">
        <v>160</v>
      </c>
      <c r="K24" s="48">
        <v>1235</v>
      </c>
      <c r="L24" s="48" t="s">
        <v>106</v>
      </c>
      <c r="M24" s="49" t="s">
        <v>101</v>
      </c>
      <c r="N24" s="49"/>
      <c r="O24" s="50" t="s">
        <v>120</v>
      </c>
      <c r="P24" s="50" t="s">
        <v>161</v>
      </c>
    </row>
    <row r="25" spans="1:16" ht="12.75" customHeight="1" thickBot="1">
      <c r="A25" s="28" t="str">
        <f t="shared" si="0"/>
        <v> BRNO 31 </v>
      </c>
      <c r="B25" s="17" t="str">
        <f t="shared" si="1"/>
        <v>I</v>
      </c>
      <c r="C25" s="28">
        <f t="shared" si="2"/>
        <v>49211.45</v>
      </c>
      <c r="D25" s="15" t="str">
        <f t="shared" si="3"/>
        <v>vis</v>
      </c>
      <c r="E25" s="47">
        <f>VLOOKUP(C25,'Active 1'!C$21:E$973,3,FALSE)</f>
        <v>1432.9921654214552</v>
      </c>
      <c r="F25" s="17" t="s">
        <v>70</v>
      </c>
      <c r="G25" s="15" t="str">
        <f t="shared" si="4"/>
        <v>49211.450</v>
      </c>
      <c r="H25" s="28">
        <f t="shared" si="5"/>
        <v>1433</v>
      </c>
      <c r="I25" s="48" t="s">
        <v>162</v>
      </c>
      <c r="J25" s="49" t="s">
        <v>163</v>
      </c>
      <c r="K25" s="48">
        <v>1433</v>
      </c>
      <c r="L25" s="48" t="s">
        <v>164</v>
      </c>
      <c r="M25" s="49" t="s">
        <v>101</v>
      </c>
      <c r="N25" s="49"/>
      <c r="O25" s="50" t="s">
        <v>165</v>
      </c>
      <c r="P25" s="50" t="s">
        <v>166</v>
      </c>
    </row>
    <row r="26" spans="1:16" ht="12.75" customHeight="1" thickBot="1">
      <c r="A26" s="28" t="str">
        <f t="shared" si="0"/>
        <v> BBS 105 </v>
      </c>
      <c r="B26" s="17" t="str">
        <f t="shared" si="1"/>
        <v>I</v>
      </c>
      <c r="C26" s="28">
        <f t="shared" si="2"/>
        <v>49211.475</v>
      </c>
      <c r="D26" s="15" t="str">
        <f t="shared" si="3"/>
        <v>vis</v>
      </c>
      <c r="E26" s="47">
        <f>VLOOKUP(C26,'Active 1'!C$21:E$973,3,FALSE)</f>
        <v>1432.9986531479744</v>
      </c>
      <c r="F26" s="17" t="s">
        <v>70</v>
      </c>
      <c r="G26" s="15" t="str">
        <f t="shared" si="4"/>
        <v>49211.475</v>
      </c>
      <c r="H26" s="28">
        <f t="shared" si="5"/>
        <v>1433</v>
      </c>
      <c r="I26" s="48" t="s">
        <v>167</v>
      </c>
      <c r="J26" s="49" t="s">
        <v>168</v>
      </c>
      <c r="K26" s="48">
        <v>1433</v>
      </c>
      <c r="L26" s="48" t="s">
        <v>169</v>
      </c>
      <c r="M26" s="49" t="s">
        <v>170</v>
      </c>
      <c r="N26" s="49" t="s">
        <v>171</v>
      </c>
      <c r="O26" s="50" t="s">
        <v>136</v>
      </c>
      <c r="P26" s="50" t="s">
        <v>172</v>
      </c>
    </row>
    <row r="27" spans="1:16" ht="12.75" customHeight="1" thickBot="1">
      <c r="A27" s="28" t="str">
        <f t="shared" si="0"/>
        <v>BAVM 117 </v>
      </c>
      <c r="B27" s="17" t="str">
        <f t="shared" si="1"/>
        <v>I</v>
      </c>
      <c r="C27" s="28">
        <f t="shared" si="2"/>
        <v>50714.3478</v>
      </c>
      <c r="D27" s="15" t="str">
        <f t="shared" si="3"/>
        <v>vis</v>
      </c>
      <c r="E27" s="47">
        <f>VLOOKUP(C27,'Active 1'!C$21:E$973,3,FALSE)</f>
        <v>1823.0077619160083</v>
      </c>
      <c r="F27" s="17" t="s">
        <v>70</v>
      </c>
      <c r="G27" s="15" t="str">
        <f t="shared" si="4"/>
        <v>50714.3478</v>
      </c>
      <c r="H27" s="28">
        <f t="shared" si="5"/>
        <v>1823</v>
      </c>
      <c r="I27" s="48" t="s">
        <v>182</v>
      </c>
      <c r="J27" s="49" t="s">
        <v>183</v>
      </c>
      <c r="K27" s="48">
        <v>1823</v>
      </c>
      <c r="L27" s="48" t="s">
        <v>184</v>
      </c>
      <c r="M27" s="49" t="s">
        <v>170</v>
      </c>
      <c r="N27" s="49" t="s">
        <v>185</v>
      </c>
      <c r="O27" s="50" t="s">
        <v>186</v>
      </c>
      <c r="P27" s="51" t="s">
        <v>187</v>
      </c>
    </row>
    <row r="28" spans="1:16" ht="12.75" customHeight="1" thickBot="1">
      <c r="A28" s="28" t="str">
        <f t="shared" si="0"/>
        <v>IBVS 5583 </v>
      </c>
      <c r="B28" s="17" t="str">
        <f t="shared" si="1"/>
        <v>I</v>
      </c>
      <c r="C28" s="28">
        <f t="shared" si="2"/>
        <v>52105.4476</v>
      </c>
      <c r="D28" s="15" t="str">
        <f t="shared" si="3"/>
        <v>vis</v>
      </c>
      <c r="E28" s="47">
        <f>VLOOKUP(C28,'Active 1'!C$21:E$973,3,FALSE)</f>
        <v>2184.0107644358404</v>
      </c>
      <c r="F28" s="17" t="s">
        <v>70</v>
      </c>
      <c r="G28" s="15" t="str">
        <f t="shared" si="4"/>
        <v>52105.4476</v>
      </c>
      <c r="H28" s="28">
        <f t="shared" si="5"/>
        <v>2184</v>
      </c>
      <c r="I28" s="48" t="s">
        <v>196</v>
      </c>
      <c r="J28" s="49" t="s">
        <v>197</v>
      </c>
      <c r="K28" s="48">
        <v>2184</v>
      </c>
      <c r="L28" s="48" t="s">
        <v>198</v>
      </c>
      <c r="M28" s="49" t="s">
        <v>170</v>
      </c>
      <c r="N28" s="49" t="s">
        <v>171</v>
      </c>
      <c r="O28" s="50" t="s">
        <v>199</v>
      </c>
      <c r="P28" s="51" t="s">
        <v>200</v>
      </c>
    </row>
    <row r="29" spans="1:16" ht="12.75" customHeight="1" thickBot="1">
      <c r="A29" s="28" t="str">
        <f t="shared" si="0"/>
        <v>OEJV 0074 </v>
      </c>
      <c r="B29" s="17" t="str">
        <f t="shared" si="1"/>
        <v>I</v>
      </c>
      <c r="C29" s="28">
        <f t="shared" si="2"/>
        <v>52841.45063</v>
      </c>
      <c r="D29" s="15" t="str">
        <f t="shared" si="3"/>
        <v>vis</v>
      </c>
      <c r="E29" s="47">
        <f>VLOOKUP(C29,'Active 1'!C$21:E$973,3,FALSE)</f>
        <v>2375.010219466813</v>
      </c>
      <c r="F29" s="17" t="s">
        <v>70</v>
      </c>
      <c r="G29" s="15" t="str">
        <f t="shared" si="4"/>
        <v>52841.45063</v>
      </c>
      <c r="H29" s="28">
        <f t="shared" si="5"/>
        <v>2375</v>
      </c>
      <c r="I29" s="48" t="s">
        <v>201</v>
      </c>
      <c r="J29" s="49" t="s">
        <v>202</v>
      </c>
      <c r="K29" s="48">
        <v>2375</v>
      </c>
      <c r="L29" s="48" t="s">
        <v>203</v>
      </c>
      <c r="M29" s="49" t="s">
        <v>204</v>
      </c>
      <c r="N29" s="49" t="s">
        <v>185</v>
      </c>
      <c r="O29" s="50" t="s">
        <v>205</v>
      </c>
      <c r="P29" s="51" t="s">
        <v>206</v>
      </c>
    </row>
    <row r="30" spans="1:16" ht="12.75" customHeight="1" thickBot="1">
      <c r="A30" s="28" t="str">
        <f t="shared" si="0"/>
        <v>BAVM 238 </v>
      </c>
      <c r="B30" s="17" t="str">
        <f t="shared" si="1"/>
        <v>I</v>
      </c>
      <c r="C30" s="28">
        <f t="shared" si="2"/>
        <v>56864.4358</v>
      </c>
      <c r="D30" s="15" t="str">
        <f t="shared" si="3"/>
        <v>vis</v>
      </c>
      <c r="E30" s="47">
        <f>VLOOKUP(C30,'Active 1'!C$21:E$973,3,FALSE)</f>
        <v>3419.011322380321</v>
      </c>
      <c r="F30" s="17" t="s">
        <v>70</v>
      </c>
      <c r="G30" s="15" t="str">
        <f t="shared" si="4"/>
        <v>56864.4358</v>
      </c>
      <c r="H30" s="28">
        <f t="shared" si="5"/>
        <v>3419</v>
      </c>
      <c r="I30" s="48" t="s">
        <v>213</v>
      </c>
      <c r="J30" s="49" t="s">
        <v>214</v>
      </c>
      <c r="K30" s="48" t="s">
        <v>215</v>
      </c>
      <c r="L30" s="48" t="s">
        <v>216</v>
      </c>
      <c r="M30" s="49" t="s">
        <v>204</v>
      </c>
      <c r="N30" s="49" t="s">
        <v>210</v>
      </c>
      <c r="O30" s="50" t="s">
        <v>211</v>
      </c>
      <c r="P30" s="51" t="s">
        <v>217</v>
      </c>
    </row>
    <row r="31" spans="1:16" ht="12.75" customHeight="1" thickBot="1">
      <c r="A31" s="28" t="str">
        <f t="shared" si="0"/>
        <v> KVBB 19.45 </v>
      </c>
      <c r="B31" s="17" t="str">
        <f t="shared" si="1"/>
        <v>I</v>
      </c>
      <c r="C31" s="28">
        <f t="shared" si="2"/>
        <v>25921.292</v>
      </c>
      <c r="D31" s="15" t="str">
        <f t="shared" si="3"/>
        <v>vis</v>
      </c>
      <c r="E31" s="47">
        <f>VLOOKUP(C31,'Active 1'!C$21:E$973,3,FALSE)</f>
        <v>-4611.014862083909</v>
      </c>
      <c r="F31" s="17" t="s">
        <v>70</v>
      </c>
      <c r="G31" s="15" t="str">
        <f t="shared" si="4"/>
        <v>25921.292</v>
      </c>
      <c r="H31" s="28">
        <f t="shared" si="5"/>
        <v>-4611</v>
      </c>
      <c r="I31" s="48" t="s">
        <v>73</v>
      </c>
      <c r="J31" s="49" t="s">
        <v>74</v>
      </c>
      <c r="K31" s="48">
        <v>-4611</v>
      </c>
      <c r="L31" s="48" t="s">
        <v>75</v>
      </c>
      <c r="M31" s="49" t="s">
        <v>76</v>
      </c>
      <c r="N31" s="49"/>
      <c r="O31" s="50" t="s">
        <v>77</v>
      </c>
      <c r="P31" s="50" t="s">
        <v>78</v>
      </c>
    </row>
    <row r="32" spans="1:16" ht="12.75" customHeight="1" thickBot="1">
      <c r="A32" s="28" t="str">
        <f t="shared" si="0"/>
        <v> KVBB 19.45 </v>
      </c>
      <c r="B32" s="17" t="str">
        <f t="shared" si="1"/>
        <v>I</v>
      </c>
      <c r="C32" s="28">
        <f t="shared" si="2"/>
        <v>26206.385</v>
      </c>
      <c r="D32" s="15" t="str">
        <f t="shared" si="3"/>
        <v>vis</v>
      </c>
      <c r="E32" s="47">
        <f>VLOOKUP(C32,'Active 1'!C$21:E$973,3,FALSE)</f>
        <v>-4537.030645424986</v>
      </c>
      <c r="F32" s="17" t="s">
        <v>70</v>
      </c>
      <c r="G32" s="15" t="str">
        <f t="shared" si="4"/>
        <v>26206.385</v>
      </c>
      <c r="H32" s="28">
        <f t="shared" si="5"/>
        <v>-4537</v>
      </c>
      <c r="I32" s="48" t="s">
        <v>79</v>
      </c>
      <c r="J32" s="49" t="s">
        <v>80</v>
      </c>
      <c r="K32" s="48">
        <v>-4537</v>
      </c>
      <c r="L32" s="48" t="s">
        <v>81</v>
      </c>
      <c r="M32" s="49" t="s">
        <v>76</v>
      </c>
      <c r="N32" s="49"/>
      <c r="O32" s="50" t="s">
        <v>77</v>
      </c>
      <c r="P32" s="50" t="s">
        <v>78</v>
      </c>
    </row>
    <row r="33" spans="1:16" ht="12.75" customHeight="1" thickBot="1">
      <c r="A33" s="28" t="str">
        <f t="shared" si="0"/>
        <v> KVBB 19.45 </v>
      </c>
      <c r="B33" s="17" t="str">
        <f t="shared" si="1"/>
        <v>I</v>
      </c>
      <c r="C33" s="28">
        <f t="shared" si="2"/>
        <v>26545.486</v>
      </c>
      <c r="D33" s="15" t="str">
        <f t="shared" si="3"/>
        <v>vis</v>
      </c>
      <c r="E33" s="47">
        <f>VLOOKUP(C33,'Active 1'!C$21:E$973,3,FALSE)</f>
        <v>-4449.030863412596</v>
      </c>
      <c r="F33" s="17" t="s">
        <v>70</v>
      </c>
      <c r="G33" s="15" t="str">
        <f t="shared" si="4"/>
        <v>26545.486</v>
      </c>
      <c r="H33" s="28">
        <f t="shared" si="5"/>
        <v>-4449</v>
      </c>
      <c r="I33" s="48" t="s">
        <v>82</v>
      </c>
      <c r="J33" s="49" t="s">
        <v>83</v>
      </c>
      <c r="K33" s="48">
        <v>-4449</v>
      </c>
      <c r="L33" s="48" t="s">
        <v>84</v>
      </c>
      <c r="M33" s="49" t="s">
        <v>76</v>
      </c>
      <c r="N33" s="49"/>
      <c r="O33" s="50" t="s">
        <v>77</v>
      </c>
      <c r="P33" s="50" t="s">
        <v>78</v>
      </c>
    </row>
    <row r="34" spans="1:16" ht="12.75" customHeight="1" thickBot="1">
      <c r="A34" s="28" t="str">
        <f t="shared" si="0"/>
        <v> CPUL 15.39 </v>
      </c>
      <c r="B34" s="17" t="str">
        <f t="shared" si="1"/>
        <v>I</v>
      </c>
      <c r="C34" s="28">
        <f t="shared" si="2"/>
        <v>27393.196</v>
      </c>
      <c r="D34" s="15" t="str">
        <f t="shared" si="3"/>
        <v>vis</v>
      </c>
      <c r="E34" s="47">
        <f>VLOOKUP(C34,'Active 1'!C$21:E$973,3,FALSE)</f>
        <v>-4229.042437516706</v>
      </c>
      <c r="F34" s="17" t="s">
        <v>70</v>
      </c>
      <c r="G34" s="15" t="str">
        <f t="shared" si="4"/>
        <v>27393.196</v>
      </c>
      <c r="H34" s="28">
        <f t="shared" si="5"/>
        <v>-4229</v>
      </c>
      <c r="I34" s="48" t="s">
        <v>85</v>
      </c>
      <c r="J34" s="49" t="s">
        <v>86</v>
      </c>
      <c r="K34" s="48">
        <v>-4229</v>
      </c>
      <c r="L34" s="48" t="s">
        <v>87</v>
      </c>
      <c r="M34" s="49" t="s">
        <v>76</v>
      </c>
      <c r="N34" s="49"/>
      <c r="O34" s="50" t="s">
        <v>88</v>
      </c>
      <c r="P34" s="50" t="s">
        <v>89</v>
      </c>
    </row>
    <row r="35" spans="1:16" ht="12.75" customHeight="1" thickBot="1">
      <c r="A35" s="28" t="str">
        <f t="shared" si="0"/>
        <v> KVBB 19.45 </v>
      </c>
      <c r="B35" s="17" t="str">
        <f t="shared" si="1"/>
        <v>I</v>
      </c>
      <c r="C35" s="28">
        <f t="shared" si="2"/>
        <v>27624.469</v>
      </c>
      <c r="D35" s="15" t="str">
        <f t="shared" si="3"/>
        <v>vis</v>
      </c>
      <c r="E35" s="47">
        <f>VLOOKUP(C35,'Active 1'!C$21:E$973,3,FALSE)</f>
        <v>-4169.024998507823</v>
      </c>
      <c r="F35" s="17" t="s">
        <v>70</v>
      </c>
      <c r="G35" s="15" t="str">
        <f t="shared" si="4"/>
        <v>27624.469</v>
      </c>
      <c r="H35" s="28">
        <f t="shared" si="5"/>
        <v>-4169</v>
      </c>
      <c r="I35" s="48" t="s">
        <v>90</v>
      </c>
      <c r="J35" s="49" t="s">
        <v>91</v>
      </c>
      <c r="K35" s="48">
        <v>-4169</v>
      </c>
      <c r="L35" s="48" t="s">
        <v>92</v>
      </c>
      <c r="M35" s="49" t="s">
        <v>76</v>
      </c>
      <c r="N35" s="49"/>
      <c r="O35" s="50" t="s">
        <v>77</v>
      </c>
      <c r="P35" s="50" t="s">
        <v>78</v>
      </c>
    </row>
    <row r="36" spans="1:16" ht="12.75" customHeight="1" thickBot="1">
      <c r="A36" s="28" t="str">
        <f t="shared" si="0"/>
        <v> KVBB 19.45 </v>
      </c>
      <c r="B36" s="17" t="str">
        <f t="shared" si="1"/>
        <v>I</v>
      </c>
      <c r="C36" s="28">
        <f t="shared" si="2"/>
        <v>27655.425</v>
      </c>
      <c r="D36" s="15" t="str">
        <f t="shared" si="3"/>
        <v>vis</v>
      </c>
      <c r="E36" s="47">
        <f>VLOOKUP(C36,'Active 1'!C$21:E$973,3,FALSE)</f>
        <v>-4160.991636022972</v>
      </c>
      <c r="F36" s="17" t="s">
        <v>70</v>
      </c>
      <c r="G36" s="15" t="str">
        <f t="shared" si="4"/>
        <v>27655.425</v>
      </c>
      <c r="H36" s="28">
        <f t="shared" si="5"/>
        <v>-4161</v>
      </c>
      <c r="I36" s="48" t="s">
        <v>93</v>
      </c>
      <c r="J36" s="49" t="s">
        <v>94</v>
      </c>
      <c r="K36" s="48">
        <v>-4161</v>
      </c>
      <c r="L36" s="48" t="s">
        <v>95</v>
      </c>
      <c r="M36" s="49" t="s">
        <v>76</v>
      </c>
      <c r="N36" s="49"/>
      <c r="O36" s="50" t="s">
        <v>77</v>
      </c>
      <c r="P36" s="50" t="s">
        <v>78</v>
      </c>
    </row>
    <row r="37" spans="1:16" ht="12.75" customHeight="1" thickBot="1">
      <c r="A37" s="28" t="str">
        <f t="shared" si="0"/>
        <v> CPUL 15.39 </v>
      </c>
      <c r="B37" s="17" t="str">
        <f t="shared" si="1"/>
        <v>I</v>
      </c>
      <c r="C37" s="28">
        <f t="shared" si="2"/>
        <v>27713.297</v>
      </c>
      <c r="D37" s="15" t="str">
        <f t="shared" si="3"/>
        <v>vis</v>
      </c>
      <c r="E37" s="47">
        <f>VLOOKUP(C37,'Active 1'!C$21:E$973,3,FALSE)</f>
        <v>-4145.973327658736</v>
      </c>
      <c r="F37" s="17" t="s">
        <v>70</v>
      </c>
      <c r="G37" s="15" t="str">
        <f t="shared" si="4"/>
        <v>27713.297</v>
      </c>
      <c r="H37" s="28">
        <f t="shared" si="5"/>
        <v>-4146</v>
      </c>
      <c r="I37" s="48" t="s">
        <v>96</v>
      </c>
      <c r="J37" s="49" t="s">
        <v>97</v>
      </c>
      <c r="K37" s="48">
        <v>-4146</v>
      </c>
      <c r="L37" s="48" t="s">
        <v>98</v>
      </c>
      <c r="M37" s="49" t="s">
        <v>76</v>
      </c>
      <c r="N37" s="49"/>
      <c r="O37" s="50" t="s">
        <v>88</v>
      </c>
      <c r="P37" s="50" t="s">
        <v>89</v>
      </c>
    </row>
    <row r="38" spans="1:16" ht="12.75" customHeight="1" thickBot="1">
      <c r="A38" s="28" t="str">
        <f t="shared" si="0"/>
        <v> VSSC 73 </v>
      </c>
      <c r="B38" s="17" t="str">
        <f t="shared" si="1"/>
        <v>I</v>
      </c>
      <c r="C38" s="28">
        <f t="shared" si="2"/>
        <v>47762.59</v>
      </c>
      <c r="D38" s="15" t="str">
        <f t="shared" si="3"/>
        <v>vis</v>
      </c>
      <c r="E38" s="47">
        <f>VLOOKUP(C38,'Active 1'!C$21:E$973,3,FALSE)</f>
        <v>1056.9998676503783</v>
      </c>
      <c r="F38" s="17" t="s">
        <v>70</v>
      </c>
      <c r="G38" s="15" t="str">
        <f t="shared" si="4"/>
        <v>47762.590</v>
      </c>
      <c r="H38" s="28">
        <f t="shared" si="5"/>
        <v>1057</v>
      </c>
      <c r="I38" s="48" t="s">
        <v>154</v>
      </c>
      <c r="J38" s="49" t="s">
        <v>155</v>
      </c>
      <c r="K38" s="48">
        <v>1057</v>
      </c>
      <c r="L38" s="48" t="s">
        <v>156</v>
      </c>
      <c r="M38" s="49" t="s">
        <v>101</v>
      </c>
      <c r="N38" s="49"/>
      <c r="O38" s="50" t="s">
        <v>157</v>
      </c>
      <c r="P38" s="50" t="s">
        <v>158</v>
      </c>
    </row>
    <row r="39" spans="1:16" ht="12.75" customHeight="1" thickBot="1">
      <c r="A39" s="28" t="str">
        <f t="shared" si="0"/>
        <v> BRNO 32 </v>
      </c>
      <c r="B39" s="17" t="str">
        <f t="shared" si="1"/>
        <v>I</v>
      </c>
      <c r="C39" s="28">
        <f t="shared" si="2"/>
        <v>50683.4467</v>
      </c>
      <c r="D39" s="15" t="str">
        <f t="shared" si="3"/>
        <v>vis</v>
      </c>
      <c r="E39" s="47">
        <f>VLOOKUP(C39,'Active 1'!C$21:E$973,3,FALSE)</f>
        <v>1814.988646478592</v>
      </c>
      <c r="F39" s="17" t="s">
        <v>70</v>
      </c>
      <c r="G39" s="15" t="str">
        <f t="shared" si="4"/>
        <v>50683.4467</v>
      </c>
      <c r="H39" s="28">
        <f t="shared" si="5"/>
        <v>1815</v>
      </c>
      <c r="I39" s="48" t="s">
        <v>173</v>
      </c>
      <c r="J39" s="49" t="s">
        <v>174</v>
      </c>
      <c r="K39" s="48">
        <v>1815</v>
      </c>
      <c r="L39" s="48" t="s">
        <v>175</v>
      </c>
      <c r="M39" s="49" t="s">
        <v>101</v>
      </c>
      <c r="N39" s="49"/>
      <c r="O39" s="50" t="s">
        <v>176</v>
      </c>
      <c r="P39" s="50" t="s">
        <v>177</v>
      </c>
    </row>
    <row r="40" spans="1:16" ht="12.75" customHeight="1" thickBot="1">
      <c r="A40" s="28" t="str">
        <f t="shared" si="0"/>
        <v> BRNO 32 </v>
      </c>
      <c r="B40" s="17" t="str">
        <f t="shared" si="1"/>
        <v>I</v>
      </c>
      <c r="C40" s="28">
        <f t="shared" si="2"/>
        <v>50683.4696</v>
      </c>
      <c r="D40" s="15" t="str">
        <f t="shared" si="3"/>
        <v>vis</v>
      </c>
      <c r="E40" s="47">
        <f>VLOOKUP(C40,'Active 1'!C$21:E$973,3,FALSE)</f>
        <v>1814.9945892360824</v>
      </c>
      <c r="F40" s="17" t="s">
        <v>70</v>
      </c>
      <c r="G40" s="15" t="str">
        <f t="shared" si="4"/>
        <v>50683.4696</v>
      </c>
      <c r="H40" s="28">
        <f t="shared" si="5"/>
        <v>1815</v>
      </c>
      <c r="I40" s="48" t="s">
        <v>178</v>
      </c>
      <c r="J40" s="49" t="s">
        <v>179</v>
      </c>
      <c r="K40" s="48">
        <v>1815</v>
      </c>
      <c r="L40" s="48" t="s">
        <v>180</v>
      </c>
      <c r="M40" s="49" t="s">
        <v>101</v>
      </c>
      <c r="N40" s="49"/>
      <c r="O40" s="50" t="s">
        <v>181</v>
      </c>
      <c r="P40" s="50" t="s">
        <v>177</v>
      </c>
    </row>
    <row r="41" spans="1:16" ht="12.75" customHeight="1" thickBot="1">
      <c r="A41" s="28" t="str">
        <f t="shared" si="0"/>
        <v> AJ 130,234-245 </v>
      </c>
      <c r="B41" s="17" t="str">
        <f t="shared" si="1"/>
        <v>I</v>
      </c>
      <c r="C41" s="28">
        <f t="shared" si="2"/>
        <v>51400.278</v>
      </c>
      <c r="D41" s="15" t="str">
        <f t="shared" si="3"/>
        <v>vis</v>
      </c>
      <c r="E41" s="47">
        <f>VLOOKUP(C41,'Active 1'!C$21:E$973,3,FALSE)</f>
        <v>2001.0128638641415</v>
      </c>
      <c r="F41" s="17" t="s">
        <v>70</v>
      </c>
      <c r="G41" s="15" t="str">
        <f t="shared" si="4"/>
        <v>51400.278</v>
      </c>
      <c r="H41" s="28">
        <f t="shared" si="5"/>
        <v>2001</v>
      </c>
      <c r="I41" s="48" t="s">
        <v>188</v>
      </c>
      <c r="J41" s="49" t="s">
        <v>189</v>
      </c>
      <c r="K41" s="48">
        <v>2001</v>
      </c>
      <c r="L41" s="48" t="s">
        <v>190</v>
      </c>
      <c r="M41" s="49" t="s">
        <v>170</v>
      </c>
      <c r="N41" s="49" t="s">
        <v>171</v>
      </c>
      <c r="O41" s="50" t="s">
        <v>191</v>
      </c>
      <c r="P41" s="50" t="s">
        <v>192</v>
      </c>
    </row>
    <row r="42" spans="1:16" ht="12.75" customHeight="1" thickBot="1">
      <c r="A42" s="28" t="str">
        <f t="shared" si="0"/>
        <v> AJ 130,234-245 </v>
      </c>
      <c r="B42" s="17" t="str">
        <f t="shared" si="1"/>
        <v>I</v>
      </c>
      <c r="C42" s="28">
        <f t="shared" si="2"/>
        <v>51889.6472</v>
      </c>
      <c r="D42" s="15" t="str">
        <f t="shared" si="3"/>
        <v>vis</v>
      </c>
      <c r="E42" s="47">
        <f>VLOOKUP(C42,'Active 1'!C$21:E$973,3,FALSE)</f>
        <v>2128.008605320455</v>
      </c>
      <c r="F42" s="17" t="s">
        <v>70</v>
      </c>
      <c r="G42" s="15" t="str">
        <f t="shared" si="4"/>
        <v>51889.6472</v>
      </c>
      <c r="H42" s="28">
        <f t="shared" si="5"/>
        <v>2128</v>
      </c>
      <c r="I42" s="48" t="s">
        <v>193</v>
      </c>
      <c r="J42" s="49" t="s">
        <v>194</v>
      </c>
      <c r="K42" s="48">
        <v>2128</v>
      </c>
      <c r="L42" s="48" t="s">
        <v>195</v>
      </c>
      <c r="M42" s="49" t="s">
        <v>170</v>
      </c>
      <c r="N42" s="49" t="s">
        <v>171</v>
      </c>
      <c r="O42" s="50" t="s">
        <v>191</v>
      </c>
      <c r="P42" s="50" t="s">
        <v>192</v>
      </c>
    </row>
    <row r="43" spans="1:16" ht="12.75" customHeight="1" thickBot="1">
      <c r="A43" s="28" t="str">
        <f t="shared" si="0"/>
        <v>BAVM 193 </v>
      </c>
      <c r="B43" s="17" t="str">
        <f t="shared" si="1"/>
        <v>I</v>
      </c>
      <c r="C43" s="28">
        <f t="shared" si="2"/>
        <v>54313.4899</v>
      </c>
      <c r="D43" s="15" t="str">
        <f t="shared" si="3"/>
        <v>vis</v>
      </c>
      <c r="E43" s="47">
        <f>VLOOKUP(C43,'Active 1'!C$21:E$973,3,FALSE)</f>
        <v>2757.0177478246655</v>
      </c>
      <c r="F43" s="17" t="s">
        <v>70</v>
      </c>
      <c r="G43" s="15" t="str">
        <f t="shared" si="4"/>
        <v>54313.4899</v>
      </c>
      <c r="H43" s="28">
        <f t="shared" si="5"/>
        <v>2757</v>
      </c>
      <c r="I43" s="48" t="s">
        <v>207</v>
      </c>
      <c r="J43" s="49" t="s">
        <v>208</v>
      </c>
      <c r="K43" s="48">
        <v>2757</v>
      </c>
      <c r="L43" s="48" t="s">
        <v>209</v>
      </c>
      <c r="M43" s="49" t="s">
        <v>204</v>
      </c>
      <c r="N43" s="49" t="s">
        <v>210</v>
      </c>
      <c r="O43" s="50" t="s">
        <v>211</v>
      </c>
      <c r="P43" s="51" t="s">
        <v>212</v>
      </c>
    </row>
    <row r="44" spans="2:6" ht="12.75">
      <c r="B44" s="17"/>
      <c r="F44" s="17"/>
    </row>
    <row r="45" spans="2:6" ht="12.75">
      <c r="B45" s="17"/>
      <c r="F45" s="17"/>
    </row>
    <row r="46" spans="2:6" ht="12.75">
      <c r="B46" s="17"/>
      <c r="F46" s="17"/>
    </row>
    <row r="47" spans="2:6" ht="12.75">
      <c r="B47" s="17"/>
      <c r="F47" s="17"/>
    </row>
    <row r="48" spans="2:6" ht="12.75">
      <c r="B48" s="17"/>
      <c r="F48" s="17"/>
    </row>
    <row r="49" spans="2:6" ht="12.75">
      <c r="B49" s="17"/>
      <c r="F49" s="17"/>
    </row>
    <row r="50" spans="2:6" ht="12.75">
      <c r="B50" s="17"/>
      <c r="F50" s="17"/>
    </row>
    <row r="51" spans="2:6" ht="12.75">
      <c r="B51" s="17"/>
      <c r="F51" s="17"/>
    </row>
    <row r="52" spans="2:6" ht="12.75">
      <c r="B52" s="17"/>
      <c r="F52" s="17"/>
    </row>
    <row r="53" spans="2:6" ht="12.75">
      <c r="B53" s="17"/>
      <c r="F53" s="17"/>
    </row>
    <row r="54" spans="2:6" ht="12.75">
      <c r="B54" s="17"/>
      <c r="F54" s="17"/>
    </row>
    <row r="55" spans="2:6" ht="12.75">
      <c r="B55" s="17"/>
      <c r="F55" s="17"/>
    </row>
    <row r="56" spans="2:6" ht="12.75">
      <c r="B56" s="17"/>
      <c r="F56" s="17"/>
    </row>
    <row r="57" spans="2:6" ht="12.75">
      <c r="B57" s="17"/>
      <c r="F57" s="17"/>
    </row>
    <row r="58" spans="2:6" ht="12.75">
      <c r="B58" s="17"/>
      <c r="F58" s="17"/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</sheetData>
  <sheetProtection/>
  <hyperlinks>
    <hyperlink ref="P11" r:id="rId1" display="http://www.konkoly.hu/cgi-bin/IBVS?35"/>
    <hyperlink ref="P27" r:id="rId2" display="http://www.bav-astro.de/sfs/BAVM_link.php?BAVMnr=117"/>
    <hyperlink ref="P28" r:id="rId3" display="http://www.konkoly.hu/cgi-bin/IBVS?5583"/>
    <hyperlink ref="P29" r:id="rId4" display="http://var.astro.cz/oejv/issues/oejv0074.pdf"/>
    <hyperlink ref="P43" r:id="rId5" display="http://www.bav-astro.de/sfs/BAVM_link.php?BAVMnr=193"/>
    <hyperlink ref="P30" r:id="rId6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