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90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<sst xmlns="http://schemas.openxmlformats.org/spreadsheetml/2006/main" count="130" uniqueCount="93">
  <si>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</si>
  <si>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</si>
  <si>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</si>
  <si>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</si>
  <si>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</si>
  <si>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</si>
  <si>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</si>
  <si>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</si>
  <si>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</si>
  <si>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</si>
  <si>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</si>
  <si>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</si>
  <si>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</si>
  <si>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</si>
  <si>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</si>
  <si>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</si>
  <si>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</si>
  <si>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</si>
  <si>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</si>
  <si>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</si>
  <si>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</si>
  <si>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</si>
  <si>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</si>
  <si>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</si>
  <si>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</si>
  <si>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</si>
  <si>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</si>
  <si>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</si>
  <si>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</si>
  <si>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</si>
  <si>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</si>
  <si>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</si>
  <si>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</si>
  <si>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</si>
  <si>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</si>
  <si>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</si>
  <si>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</si>
  <si>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</si>
  <si>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BG Del</t>
  </si>
  <si>
    <t>BG Del / GSC na</t>
  </si>
  <si>
    <t>EB/KE</t>
  </si>
  <si>
    <t>Kreiner</t>
  </si>
  <si>
    <t>IBVS 6070</t>
  </si>
  <si>
    <t>II</t>
  </si>
  <si>
    <t>OEJV 0160</t>
  </si>
  <si>
    <t>I</t>
  </si>
  <si>
    <t>IBVS 6118</t>
  </si>
  <si>
    <t>IBVS 5984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</si>
  <si>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</si>
  <si>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</si>
  <si>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</si>
  <si>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</si>
  <si>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</si>
  <si>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</si>
  <si>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</si>
  <si>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</si>
  <si>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</si>
  <si>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</si>
  <si>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</si>
  <si>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</si>
  <si>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2454381.4017 </t>
  </si>
  <si>
    <t> 07.10.2007 21:38 </t>
  </si>
  <si>
    <t> 0.0847 </t>
  </si>
  <si>
    <t>C </t>
  </si>
  <si>
    <t>-I</t>
  </si>
  <si>
    <t> F.Agerer </t>
  </si>
  <si>
    <t>BAVM 193 </t>
  </si>
  <si>
    <t>2455389.4176 </t>
  </si>
  <si>
    <t> 11.07.2010 22:01 </t>
  </si>
  <si>
    <t>52383.5</t>
  </si>
  <si>
    <t> 0.0842 </t>
  </si>
  <si>
    <t>BAVM 215 </t>
  </si>
  <si>
    <t>2455396.4632 </t>
  </si>
  <si>
    <t> 18.07.2010 23:07 </t>
  </si>
  <si>
    <t>52396</t>
  </si>
  <si>
    <t> 0.0846 </t>
  </si>
  <si>
    <t>2456094.4922 </t>
  </si>
  <si>
    <t> 15.06.2012 23:48 </t>
  </si>
  <si>
    <t>53634.5</t>
  </si>
  <si>
    <t> 0.0827 </t>
  </si>
  <si>
    <t>BAVM 231 </t>
  </si>
  <si>
    <t>2456188.33231 </t>
  </si>
  <si>
    <t> 17.09.2012 19:58 </t>
  </si>
  <si>
    <t>53801</t>
  </si>
  <si>
    <t> 0.08170 </t>
  </si>
  <si>
    <t> J.Trnka </t>
  </si>
  <si>
    <t>OEJV 0160 </t>
  </si>
  <si>
    <t>2456539.4603 </t>
  </si>
  <si>
    <t> 03.09.2013 23:02 </t>
  </si>
  <si>
    <t>54424</t>
  </si>
  <si>
    <t> 0.0807 </t>
  </si>
  <si>
    <t>BAVM 234 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</si>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</sst>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0"/>
    </font>
    <font>
      <sz val="9"/>
      <color indexed="12"/>
      <name val="CourierNewPSMT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7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2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BG Del - O-C Diagr.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025"/>
          <c:w val="0.924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0.003</c:v>
                  </c:pt>
                  <c:pt idx="3">
                    <c:v>0.0022</c:v>
                  </c:pt>
                  <c:pt idx="4">
                    <c:v>0.0057</c:v>
                  </c:pt>
                  <c:pt idx="5">
                    <c:v>0.0002</c:v>
                  </c:pt>
                  <c:pt idx="6">
                    <c:v>0.0013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2278049"/>
        <c:axId val="22066986"/>
      </c:scatterChart>
      <c:valAx>
        <c:axId val="322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6986"/>
        <c:crosses val="autoZero"/>
        <c:crossBetween val="midCat"/>
        <c:dispUnits/>
      </c:valAx>
      <c:valAx>
        <c:axId val="22066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80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425"/>
          <c:y val="0.934"/>
          <c:w val="0.550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20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62475" y="0"/>
        <a:ext cx="8305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93" TargetMode="External" /><Relationship Id="rId2" Type="http://schemas.openxmlformats.org/officeDocument/2006/relationships/hyperlink" Target="http://www.bav-astro.de/sfs/BAVM_link.php?BAVMnr=215" TargetMode="External" /><Relationship Id="rId3" Type="http://schemas.openxmlformats.org/officeDocument/2006/relationships/hyperlink" Target="http://www.bav-astro.de/sfs/BAVM_link.php?BAVMnr=215" TargetMode="External" /><Relationship Id="rId4" Type="http://schemas.openxmlformats.org/officeDocument/2006/relationships/hyperlink" Target="http://www.bav-astro.de/sfs/BAVM_link.php?BAVMnr=231" TargetMode="External" /><Relationship Id="rId5" Type="http://schemas.openxmlformats.org/officeDocument/2006/relationships/hyperlink" Target="http://var.astro.cz/oejv/issues/oejv0160.pdf" TargetMode="External" /><Relationship Id="rId6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20" width="9.8515625" style="0" customWidth="1"/>
  </cols>
  <sheetData>
    <row r="1" ht="20.25">
      <c r="A1" s="1" t="s">
        <v>39</v>
      </c>
    </row>
    <row r="2" spans="1:6" ht="12.75">
      <c r="A2" t="s">
        <v>23</v>
      </c>
      <c r="B2" t="s">
        <v>40</v>
      </c>
      <c r="C2" s="3"/>
      <c r="D2" s="3"/>
      <c r="E2" s="10" t="s">
        <v>38</v>
      </c>
      <c r="F2" t="s">
        <v>13</v>
      </c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4" ht="13.5" thickTop="1">
      <c r="A5" s="9" t="s">
        <v>28</v>
      </c>
      <c r="B5" s="10"/>
      <c r="C5" s="11">
        <v>-9.5</v>
      </c>
      <c r="D5" s="10" t="s">
        <v>29</v>
      </c>
    </row>
    <row r="6" ht="12.75">
      <c r="A6" s="5" t="s">
        <v>1</v>
      </c>
    </row>
    <row r="7" spans="1:4" ht="12.75">
      <c r="A7" t="s">
        <v>2</v>
      </c>
      <c r="C7" s="8">
        <v>52500.06</v>
      </c>
      <c r="D7" s="29" t="s">
        <v>41</v>
      </c>
    </row>
    <row r="8" spans="1:4" ht="12.75">
      <c r="A8" t="s">
        <v>3</v>
      </c>
      <c r="C8" s="8">
        <v>0.563612</v>
      </c>
      <c r="D8" s="29" t="s">
        <v>41</v>
      </c>
    </row>
    <row r="9" spans="1:4" ht="12.75">
      <c r="A9" s="24" t="s">
        <v>32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0.017537262413905293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-3.4062275045815414E-06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57239.462202295326</v>
      </c>
      <c r="E15" s="14" t="s">
        <v>34</v>
      </c>
      <c r="F15" s="11">
        <v>1</v>
      </c>
    </row>
    <row r="16" spans="1:6" ht="12.75">
      <c r="A16" s="16" t="s">
        <v>4</v>
      </c>
      <c r="B16" s="10"/>
      <c r="C16" s="17">
        <f>+C8+C12</f>
        <v>0.5636085937724954</v>
      </c>
      <c r="E16" s="14" t="s">
        <v>30</v>
      </c>
      <c r="F16" s="15">
        <f ca="1">NOW()+15018.5+$C$5/24</f>
        <v>59897.75002118055</v>
      </c>
    </row>
    <row r="17" spans="1:6" ht="13.5" thickBot="1">
      <c r="A17" s="14" t="s">
        <v>27</v>
      </c>
      <c r="B17" s="10"/>
      <c r="C17" s="10">
        <f>COUNT(C21:C2191)</f>
        <v>9</v>
      </c>
      <c r="E17" s="14" t="s">
        <v>35</v>
      </c>
      <c r="F17" s="15">
        <f>ROUND(2*(F16-$C$7)/$C$8,0)/2+F15</f>
        <v>13126.5</v>
      </c>
    </row>
    <row r="18" spans="1:6" ht="14.25" thickBot="1" thickTop="1">
      <c r="A18" s="16" t="s">
        <v>5</v>
      </c>
      <c r="B18" s="10"/>
      <c r="C18" s="19">
        <f>+C15</f>
        <v>57239.462202295326</v>
      </c>
      <c r="D18" s="20">
        <f>+C16</f>
        <v>0.5636085937724954</v>
      </c>
      <c r="E18" s="14" t="s">
        <v>36</v>
      </c>
      <c r="F18" s="23">
        <f>ROUND(2*(F16-$C$15)/$C$16,0)/2+F15</f>
        <v>4717.5</v>
      </c>
    </row>
    <row r="19" spans="5:6" ht="13.5" thickTop="1">
      <c r="E19" s="14" t="s">
        <v>31</v>
      </c>
      <c r="F19" s="18">
        <f>+$C$15+$C$16*F18-15018.5-$C$5/24</f>
        <v>44880.18157675041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56</v>
      </c>
      <c r="I20" s="7" t="s">
        <v>59</v>
      </c>
      <c r="J20" s="7" t="s">
        <v>53</v>
      </c>
      <c r="K20" s="7" t="s">
        <v>51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4"/>
      <c r="S20" s="4"/>
      <c r="T20" s="4"/>
      <c r="U20" s="26" t="s">
        <v>33</v>
      </c>
    </row>
    <row r="21" spans="1:20" ht="12.75">
      <c r="A21" t="str">
        <f>D7</f>
        <v>Kreiner</v>
      </c>
      <c r="C21" s="8">
        <f>C$7</f>
        <v>52500.06</v>
      </c>
      <c r="D21" s="8" t="s">
        <v>13</v>
      </c>
      <c r="E21">
        <f aca="true" t="shared" si="0" ref="E21:E28">+(C21-C$7)/C$8</f>
        <v>0</v>
      </c>
      <c r="F21">
        <f aca="true" t="shared" si="1" ref="F21:F29">ROUND(2*E21,0)/2</f>
        <v>0</v>
      </c>
      <c r="G21">
        <f aca="true" t="shared" si="2" ref="G21:G28">+C21-(C$7+F21*C$8)</f>
        <v>0</v>
      </c>
      <c r="I21">
        <f>+G21</f>
        <v>0</v>
      </c>
      <c r="O21">
        <f aca="true" t="shared" si="3" ref="O21:O28">+C$11+C$12*$F21</f>
        <v>0.017537262413905293</v>
      </c>
      <c r="Q21" s="2">
        <f aca="true" t="shared" si="4" ref="Q21:Q28">+C21-15018.5</f>
        <v>37481.56</v>
      </c>
      <c r="R21" s="2"/>
      <c r="S21" s="2"/>
      <c r="T21" s="2"/>
    </row>
    <row r="22" spans="1:20" ht="12.75">
      <c r="A22" s="53" t="s">
        <v>66</v>
      </c>
      <c r="B22" s="55" t="s">
        <v>45</v>
      </c>
      <c r="C22" s="54">
        <v>54381.4017</v>
      </c>
      <c r="D22" s="54" t="s">
        <v>59</v>
      </c>
      <c r="E22">
        <f t="shared" si="0"/>
        <v>3338.0085945650635</v>
      </c>
      <c r="F22">
        <f t="shared" si="1"/>
        <v>3338</v>
      </c>
      <c r="G22">
        <f t="shared" si="2"/>
        <v>0.004844000002776738</v>
      </c>
      <c r="K22">
        <f>+G22</f>
        <v>0.004844000002776738</v>
      </c>
      <c r="O22">
        <f t="shared" si="3"/>
        <v>0.006167275003612109</v>
      </c>
      <c r="Q22" s="2">
        <f t="shared" si="4"/>
        <v>39362.9017</v>
      </c>
      <c r="R22" s="2"/>
      <c r="S22" s="2"/>
      <c r="T22" s="2"/>
    </row>
    <row r="23" spans="1:20" ht="12.75">
      <c r="A23" s="37" t="s">
        <v>47</v>
      </c>
      <c r="B23" s="37"/>
      <c r="C23" s="33">
        <v>55389.4176</v>
      </c>
      <c r="D23" s="33">
        <v>0.003</v>
      </c>
      <c r="E23">
        <f t="shared" si="0"/>
        <v>5126.501210052311</v>
      </c>
      <c r="F23">
        <f t="shared" si="1"/>
        <v>5126.5</v>
      </c>
      <c r="G23">
        <f t="shared" si="2"/>
        <v>0.0006820000053266995</v>
      </c>
      <c r="J23">
        <f>+G23</f>
        <v>0.0006820000053266995</v>
      </c>
      <c r="O23">
        <f t="shared" si="3"/>
        <v>7.523711166802088E-05</v>
      </c>
      <c r="Q23" s="2">
        <f t="shared" si="4"/>
        <v>40370.9176</v>
      </c>
      <c r="R23" s="2"/>
      <c r="S23" s="2"/>
      <c r="T23" s="2"/>
    </row>
    <row r="24" spans="1:20" ht="12.75">
      <c r="A24" s="37" t="s">
        <v>47</v>
      </c>
      <c r="B24" s="37"/>
      <c r="C24" s="33">
        <v>55396.4632</v>
      </c>
      <c r="D24" s="33">
        <v>0.0022</v>
      </c>
      <c r="E24">
        <f t="shared" si="0"/>
        <v>5139.002008473916</v>
      </c>
      <c r="F24">
        <f t="shared" si="1"/>
        <v>5139</v>
      </c>
      <c r="G24">
        <f t="shared" si="2"/>
        <v>0.001131999997596722</v>
      </c>
      <c r="J24">
        <f>+G24</f>
        <v>0.001131999997596722</v>
      </c>
      <c r="O24">
        <f t="shared" si="3"/>
        <v>3.2659267860751795E-05</v>
      </c>
      <c r="Q24" s="2">
        <f t="shared" si="4"/>
        <v>40377.9632</v>
      </c>
      <c r="R24" s="2"/>
      <c r="S24" s="2"/>
      <c r="T24" s="2"/>
    </row>
    <row r="25" spans="1:20" ht="12.75">
      <c r="A25" s="30" t="s">
        <v>42</v>
      </c>
      <c r="B25" s="31" t="s">
        <v>43</v>
      </c>
      <c r="C25" s="32">
        <v>56094.4922</v>
      </c>
      <c r="D25" s="32">
        <v>0.0057</v>
      </c>
      <c r="E25">
        <f t="shared" si="0"/>
        <v>6377.494091680097</v>
      </c>
      <c r="F25">
        <f t="shared" si="1"/>
        <v>6377.5</v>
      </c>
      <c r="G25">
        <f t="shared" si="2"/>
        <v>-0.003329999999550637</v>
      </c>
      <c r="J25">
        <f>+G25</f>
        <v>-0.003329999999550637</v>
      </c>
      <c r="O25">
        <f t="shared" si="3"/>
        <v>-0.0041859534965634874</v>
      </c>
      <c r="Q25" s="2">
        <f t="shared" si="4"/>
        <v>41075.9922</v>
      </c>
      <c r="R25" s="2"/>
      <c r="S25" s="2"/>
      <c r="T25" s="2"/>
    </row>
    <row r="26" spans="1:20" ht="12.75">
      <c r="A26" s="30" t="s">
        <v>44</v>
      </c>
      <c r="B26" s="31" t="s">
        <v>45</v>
      </c>
      <c r="C26" s="32">
        <v>56188.33231</v>
      </c>
      <c r="D26" s="32">
        <v>0.0002</v>
      </c>
      <c r="E26">
        <f t="shared" si="0"/>
        <v>6543.99180642002</v>
      </c>
      <c r="F26">
        <f t="shared" si="1"/>
        <v>6544</v>
      </c>
      <c r="G26">
        <f t="shared" si="2"/>
        <v>-0.004617999999027234</v>
      </c>
      <c r="K26">
        <f>+G26</f>
        <v>-0.004617999999027234</v>
      </c>
      <c r="O26">
        <f t="shared" si="3"/>
        <v>-0.004753090376076314</v>
      </c>
      <c r="Q26" s="2">
        <f t="shared" si="4"/>
        <v>41169.83231</v>
      </c>
      <c r="R26" s="2"/>
      <c r="S26" s="2"/>
      <c r="T26" s="2"/>
    </row>
    <row r="27" spans="1:20" ht="12.75">
      <c r="A27" s="34" t="s">
        <v>46</v>
      </c>
      <c r="B27" s="35" t="s">
        <v>45</v>
      </c>
      <c r="C27" s="32">
        <v>56539.4603</v>
      </c>
      <c r="D27" s="36">
        <v>0.0013</v>
      </c>
      <c r="E27">
        <f t="shared" si="0"/>
        <v>7166.987750438247</v>
      </c>
      <c r="F27">
        <f t="shared" si="1"/>
        <v>7167</v>
      </c>
      <c r="G27">
        <f t="shared" si="2"/>
        <v>-0.006904000001668464</v>
      </c>
      <c r="J27">
        <f>+G27</f>
        <v>-0.006904000001668464</v>
      </c>
      <c r="O27">
        <f t="shared" si="3"/>
        <v>-0.006875170111430615</v>
      </c>
      <c r="Q27" s="2">
        <f t="shared" si="4"/>
        <v>41520.9603</v>
      </c>
      <c r="R27" s="2"/>
      <c r="S27" s="2"/>
      <c r="T27" s="2"/>
    </row>
    <row r="28" spans="1:20" ht="12.75">
      <c r="A28" s="33" t="s">
        <v>48</v>
      </c>
      <c r="B28" s="38" t="s">
        <v>45</v>
      </c>
      <c r="C28" s="39">
        <v>56818.44547</v>
      </c>
      <c r="D28" s="33">
        <v>0.0003</v>
      </c>
      <c r="E28">
        <f t="shared" si="0"/>
        <v>7661.982835709675</v>
      </c>
      <c r="F28">
        <f t="shared" si="1"/>
        <v>7662</v>
      </c>
      <c r="G28">
        <f t="shared" si="2"/>
        <v>-0.009674000000813976</v>
      </c>
      <c r="K28">
        <f>+G28</f>
        <v>-0.009674000000813976</v>
      </c>
      <c r="O28">
        <f t="shared" si="3"/>
        <v>-0.008561252726198478</v>
      </c>
      <c r="Q28" s="2">
        <f t="shared" si="4"/>
        <v>41799.94547</v>
      </c>
      <c r="R28" s="2"/>
      <c r="S28" s="2"/>
      <c r="T28" s="2"/>
    </row>
    <row r="29" spans="1:20" ht="12.75">
      <c r="A29" s="56" t="s">
        <v>92</v>
      </c>
      <c r="B29" s="57" t="s">
        <v>45</v>
      </c>
      <c r="C29" s="58">
        <v>57239.46197</v>
      </c>
      <c r="D29" s="58">
        <v>0.0002</v>
      </c>
      <c r="E29">
        <f>+(C29-C$7)/C$8</f>
        <v>8408.979883323987</v>
      </c>
      <c r="F29">
        <f t="shared" si="1"/>
        <v>8409</v>
      </c>
      <c r="G29">
        <f>+C29-(C$7+F29*C$8)</f>
        <v>-0.011338000003888737</v>
      </c>
      <c r="K29">
        <f>+G29</f>
        <v>-0.011338000003888737</v>
      </c>
      <c r="O29">
        <f>+C$11+C$12*$F29</f>
        <v>-0.011105704672120888</v>
      </c>
      <c r="Q29" s="2">
        <f>+C29-15018.5</f>
        <v>42220.96197</v>
      </c>
      <c r="R29" s="2"/>
      <c r="S29" s="2"/>
      <c r="T29" s="2"/>
    </row>
    <row r="30" spans="3:20" ht="12.75">
      <c r="C30" s="8"/>
      <c r="D30" s="8"/>
      <c r="Q30" s="2"/>
      <c r="R30" s="2"/>
      <c r="S30" s="2"/>
      <c r="T30" s="2"/>
    </row>
    <row r="31" spans="3:20" ht="12.75">
      <c r="C31" s="8"/>
      <c r="D31" s="8"/>
      <c r="Q31" s="2"/>
      <c r="R31" s="2"/>
      <c r="S31" s="2"/>
      <c r="T31" s="2"/>
    </row>
    <row r="32" spans="3:20" ht="12.75">
      <c r="C32" s="8"/>
      <c r="D32" s="8"/>
      <c r="Q32" s="2"/>
      <c r="R32" s="2"/>
      <c r="S32" s="2"/>
      <c r="T32" s="2"/>
    </row>
    <row r="33" spans="3:20" ht="12.75">
      <c r="C33" s="8"/>
      <c r="D33" s="8"/>
      <c r="Q33" s="2"/>
      <c r="R33" s="2"/>
      <c r="S33" s="2"/>
      <c r="T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790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1"/>
  <sheetViews>
    <sheetView zoomScalePageLayoutView="0" workbookViewId="0" topLeftCell="A1">
      <selection activeCell="A11" sqref="A11:D11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40" t="s">
        <v>49</v>
      </c>
      <c r="I1" s="41" t="s">
        <v>50</v>
      </c>
      <c r="J1" s="42" t="s">
        <v>51</v>
      </c>
    </row>
    <row r="2" spans="9:10" ht="12.75">
      <c r="I2" s="43" t="s">
        <v>52</v>
      </c>
      <c r="J2" s="44" t="s">
        <v>53</v>
      </c>
    </row>
    <row r="3" spans="1:10" ht="12.75">
      <c r="A3" s="45" t="s">
        <v>54</v>
      </c>
      <c r="I3" s="43" t="s">
        <v>55</v>
      </c>
      <c r="J3" s="44" t="s">
        <v>56</v>
      </c>
    </row>
    <row r="4" spans="9:10" ht="12.75">
      <c r="I4" s="43" t="s">
        <v>57</v>
      </c>
      <c r="J4" s="44" t="s">
        <v>56</v>
      </c>
    </row>
    <row r="5" spans="9:10" ht="13.5" thickBot="1">
      <c r="I5" s="46" t="s">
        <v>58</v>
      </c>
      <c r="J5" s="47" t="s">
        <v>59</v>
      </c>
    </row>
    <row r="10" ht="13.5" thickBot="1"/>
    <row r="11" spans="1:16" ht="12.75" customHeight="1" thickBot="1">
      <c r="A11" s="8" t="str">
        <f aca="true" t="shared" si="0" ref="A11:A16">P11</f>
        <v>BAVM 193 </v>
      </c>
      <c r="B11" s="3" t="str">
        <f aca="true" t="shared" si="1" ref="B11:B16">IF(H11=INT(H11),"I","II")</f>
        <v>I</v>
      </c>
      <c r="C11" s="8">
        <f aca="true" t="shared" si="2" ref="C11:C16">1*G11</f>
        <v>54381.4017</v>
      </c>
      <c r="D11" s="10" t="str">
        <f aca="true" t="shared" si="3" ref="D11:D16">VLOOKUP(F11,I$1:J$5,2,FALSE)</f>
        <v>vis</v>
      </c>
      <c r="E11" s="48">
        <f>VLOOKUP(C11,A!C$21:E$973,3,FALSE)</f>
        <v>3338.0085945650635</v>
      </c>
      <c r="F11" s="3" t="s">
        <v>58</v>
      </c>
      <c r="G11" s="10" t="str">
        <f aca="true" t="shared" si="4" ref="G11:G16">MID(I11,3,LEN(I11)-3)</f>
        <v>54381.4017</v>
      </c>
      <c r="H11" s="8">
        <f aca="true" t="shared" si="5" ref="H11:H16">1*K11</f>
        <v>50595</v>
      </c>
      <c r="I11" s="49" t="s">
        <v>60</v>
      </c>
      <c r="J11" s="50" t="s">
        <v>61</v>
      </c>
      <c r="K11" s="49">
        <v>50595</v>
      </c>
      <c r="L11" s="49" t="s">
        <v>62</v>
      </c>
      <c r="M11" s="50" t="s">
        <v>63</v>
      </c>
      <c r="N11" s="50" t="s">
        <v>64</v>
      </c>
      <c r="O11" s="51" t="s">
        <v>65</v>
      </c>
      <c r="P11" s="52" t="s">
        <v>66</v>
      </c>
    </row>
    <row r="12" spans="1:16" ht="12.75" customHeight="1" thickBot="1">
      <c r="A12" s="8" t="str">
        <f t="shared" si="0"/>
        <v>BAVM 215 </v>
      </c>
      <c r="B12" s="3" t="str">
        <f t="shared" si="1"/>
        <v>II</v>
      </c>
      <c r="C12" s="8">
        <f t="shared" si="2"/>
        <v>55389.4176</v>
      </c>
      <c r="D12" s="10" t="str">
        <f t="shared" si="3"/>
        <v>vis</v>
      </c>
      <c r="E12" s="48">
        <f>VLOOKUP(C12,A!C$21:E$973,3,FALSE)</f>
        <v>5126.501210052311</v>
      </c>
      <c r="F12" s="3" t="s">
        <v>58</v>
      </c>
      <c r="G12" s="10" t="str">
        <f t="shared" si="4"/>
        <v>55389.4176</v>
      </c>
      <c r="H12" s="8">
        <f t="shared" si="5"/>
        <v>52383.5</v>
      </c>
      <c r="I12" s="49" t="s">
        <v>67</v>
      </c>
      <c r="J12" s="50" t="s">
        <v>68</v>
      </c>
      <c r="K12" s="49" t="s">
        <v>69</v>
      </c>
      <c r="L12" s="49" t="s">
        <v>70</v>
      </c>
      <c r="M12" s="50" t="s">
        <v>63</v>
      </c>
      <c r="N12" s="50" t="s">
        <v>64</v>
      </c>
      <c r="O12" s="51" t="s">
        <v>65</v>
      </c>
      <c r="P12" s="52" t="s">
        <v>71</v>
      </c>
    </row>
    <row r="13" spans="1:16" ht="12.75" customHeight="1" thickBot="1">
      <c r="A13" s="8" t="str">
        <f t="shared" si="0"/>
        <v>BAVM 215 </v>
      </c>
      <c r="B13" s="3" t="str">
        <f t="shared" si="1"/>
        <v>I</v>
      </c>
      <c r="C13" s="8">
        <f t="shared" si="2"/>
        <v>55396.4632</v>
      </c>
      <c r="D13" s="10" t="str">
        <f t="shared" si="3"/>
        <v>vis</v>
      </c>
      <c r="E13" s="48">
        <f>VLOOKUP(C13,A!C$21:E$973,3,FALSE)</f>
        <v>5139.002008473916</v>
      </c>
      <c r="F13" s="3" t="s">
        <v>58</v>
      </c>
      <c r="G13" s="10" t="str">
        <f t="shared" si="4"/>
        <v>55396.4632</v>
      </c>
      <c r="H13" s="8">
        <f t="shared" si="5"/>
        <v>52396</v>
      </c>
      <c r="I13" s="49" t="s">
        <v>72</v>
      </c>
      <c r="J13" s="50" t="s">
        <v>73</v>
      </c>
      <c r="K13" s="49" t="s">
        <v>74</v>
      </c>
      <c r="L13" s="49" t="s">
        <v>75</v>
      </c>
      <c r="M13" s="50" t="s">
        <v>63</v>
      </c>
      <c r="N13" s="50" t="s">
        <v>64</v>
      </c>
      <c r="O13" s="51" t="s">
        <v>65</v>
      </c>
      <c r="P13" s="52" t="s">
        <v>71</v>
      </c>
    </row>
    <row r="14" spans="1:16" ht="12.75" customHeight="1" thickBot="1">
      <c r="A14" s="8" t="str">
        <f t="shared" si="0"/>
        <v>BAVM 231 </v>
      </c>
      <c r="B14" s="3" t="str">
        <f t="shared" si="1"/>
        <v>II</v>
      </c>
      <c r="C14" s="8">
        <f t="shared" si="2"/>
        <v>56094.4922</v>
      </c>
      <c r="D14" s="10" t="str">
        <f t="shared" si="3"/>
        <v>vis</v>
      </c>
      <c r="E14" s="48">
        <f>VLOOKUP(C14,A!C$21:E$973,3,FALSE)</f>
        <v>6377.494091680097</v>
      </c>
      <c r="F14" s="3" t="s">
        <v>58</v>
      </c>
      <c r="G14" s="10" t="str">
        <f t="shared" si="4"/>
        <v>56094.4922</v>
      </c>
      <c r="H14" s="8">
        <f t="shared" si="5"/>
        <v>53634.5</v>
      </c>
      <c r="I14" s="49" t="s">
        <v>76</v>
      </c>
      <c r="J14" s="50" t="s">
        <v>77</v>
      </c>
      <c r="K14" s="49" t="s">
        <v>78</v>
      </c>
      <c r="L14" s="49" t="s">
        <v>79</v>
      </c>
      <c r="M14" s="50" t="s">
        <v>63</v>
      </c>
      <c r="N14" s="50" t="s">
        <v>64</v>
      </c>
      <c r="O14" s="51" t="s">
        <v>65</v>
      </c>
      <c r="P14" s="52" t="s">
        <v>80</v>
      </c>
    </row>
    <row r="15" spans="1:16" ht="12.75" customHeight="1" thickBot="1">
      <c r="A15" s="8" t="str">
        <f t="shared" si="0"/>
        <v>OEJV 0160 </v>
      </c>
      <c r="B15" s="3" t="str">
        <f t="shared" si="1"/>
        <v>I</v>
      </c>
      <c r="C15" s="8">
        <f t="shared" si="2"/>
        <v>56188.33231</v>
      </c>
      <c r="D15" s="10" t="str">
        <f t="shared" si="3"/>
        <v>vis</v>
      </c>
      <c r="E15" s="48">
        <f>VLOOKUP(C15,A!C$21:E$973,3,FALSE)</f>
        <v>6543.99180642002</v>
      </c>
      <c r="F15" s="3" t="s">
        <v>58</v>
      </c>
      <c r="G15" s="10" t="str">
        <f t="shared" si="4"/>
        <v>56188.33231</v>
      </c>
      <c r="H15" s="8">
        <f t="shared" si="5"/>
        <v>53801</v>
      </c>
      <c r="I15" s="49" t="s">
        <v>81</v>
      </c>
      <c r="J15" s="50" t="s">
        <v>82</v>
      </c>
      <c r="K15" s="49" t="s">
        <v>83</v>
      </c>
      <c r="L15" s="49" t="s">
        <v>84</v>
      </c>
      <c r="M15" s="50" t="s">
        <v>63</v>
      </c>
      <c r="N15" s="50" t="s">
        <v>50</v>
      </c>
      <c r="O15" s="51" t="s">
        <v>85</v>
      </c>
      <c r="P15" s="52" t="s">
        <v>86</v>
      </c>
    </row>
    <row r="16" spans="1:16" ht="12.75" customHeight="1" thickBot="1">
      <c r="A16" s="8" t="str">
        <f t="shared" si="0"/>
        <v>BAVM 234 </v>
      </c>
      <c r="B16" s="3" t="str">
        <f t="shared" si="1"/>
        <v>I</v>
      </c>
      <c r="C16" s="8">
        <f t="shared" si="2"/>
        <v>56539.4603</v>
      </c>
      <c r="D16" s="10" t="str">
        <f t="shared" si="3"/>
        <v>vis</v>
      </c>
      <c r="E16" s="48">
        <f>VLOOKUP(C16,A!C$21:E$973,3,FALSE)</f>
        <v>7166.987750438247</v>
      </c>
      <c r="F16" s="3" t="s">
        <v>58</v>
      </c>
      <c r="G16" s="10" t="str">
        <f t="shared" si="4"/>
        <v>56539.4603</v>
      </c>
      <c r="H16" s="8">
        <f t="shared" si="5"/>
        <v>54424</v>
      </c>
      <c r="I16" s="49" t="s">
        <v>87</v>
      </c>
      <c r="J16" s="50" t="s">
        <v>88</v>
      </c>
      <c r="K16" s="49" t="s">
        <v>89</v>
      </c>
      <c r="L16" s="49" t="s">
        <v>90</v>
      </c>
      <c r="M16" s="50" t="s">
        <v>63</v>
      </c>
      <c r="N16" s="50" t="s">
        <v>64</v>
      </c>
      <c r="O16" s="51" t="s">
        <v>65</v>
      </c>
      <c r="P16" s="52" t="s">
        <v>91</v>
      </c>
    </row>
    <row r="17" spans="2:6" ht="12.75">
      <c r="B17" s="3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</sheetData>
  <sheetProtection/>
  <hyperlinks>
    <hyperlink ref="P11" r:id="rId1" display="http://www.bav-astro.de/sfs/BAVM_link.php?BAVMnr=193"/>
    <hyperlink ref="P12" r:id="rId2" display="http://www.bav-astro.de/sfs/BAVM_link.php?BAVMnr=215"/>
    <hyperlink ref="P13" r:id="rId3" display="http://www.bav-astro.de/sfs/BAVM_link.php?BAVMnr=215"/>
    <hyperlink ref="P14" r:id="rId4" display="http://www.bav-astro.de/sfs/BAVM_link.php?BAVMnr=231"/>
    <hyperlink ref="P15" r:id="rId5" display="http://var.astro.cz/oejv/issues/oejv0160.pdf"/>
    <hyperlink ref="P16" r:id="rId6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