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8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<sst xmlns="http://schemas.openxmlformats.org/spreadsheetml/2006/main" count="281" uniqueCount="150">
  <si>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</si>
  <si>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</si>
  <si>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</si>
  <si>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</si>
  <si>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</si>
  <si>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</si>
  <si>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</si>
  <si>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</si>
  <si>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</si>
  <si>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</si>
  <si>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</si>
  <si>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</si>
  <si>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</si>
  <si>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</si>
  <si>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</si>
  <si>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</si>
  <si>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</si>
  <si>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</si>
  <si>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</si>
  <si>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</si>
  <si>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</si>
  <si>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</si>
  <si>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</si>
  <si>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</si>
  <si>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</si>
  <si>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</si>
  <si>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</si>
  <si>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</si>
  <si>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</si>
  <si>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</si>
  <si>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Bull.10</t>
  </si>
  <si>
    <t>B</t>
  </si>
  <si>
    <t>v</t>
  </si>
  <si>
    <t>BAAVSS 60,15</t>
  </si>
  <si>
    <t>K</t>
  </si>
  <si>
    <t>N</t>
  </si>
  <si>
    <t>Paschke A</t>
  </si>
  <si>
    <t>BBSAG Bull.96</t>
  </si>
  <si>
    <t>IBVS 5263</t>
  </si>
  <si>
    <t>I</t>
  </si>
  <si>
    <t>EA/SD</t>
  </si>
  <si>
    <t>IBVS 0035</t>
  </si>
  <si>
    <t># of data points:</t>
  </si>
  <si>
    <t>BI Del / GSC 01099-00647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</si>
  <si>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</si>
  <si>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</si>
  <si>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</si>
  <si>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</si>
  <si>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</si>
  <si>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</si>
  <si>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</si>
  <si>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</si>
  <si>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</si>
  <si>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</si>
  <si>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</si>
  <si>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</si>
  <si>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2426560.378 </t>
  </si>
  <si>
    <t> 06.08.1931 21:04 </t>
  </si>
  <si>
    <t> -0.069 </t>
  </si>
  <si>
    <t>P </t>
  </si>
  <si>
    <t> H.-U.Sandig </t>
  </si>
  <si>
    <t> AN 278.182 </t>
  </si>
  <si>
    <t>2426589.319 </t>
  </si>
  <si>
    <t> 04.09.1931 19:39 </t>
  </si>
  <si>
    <t> -0.138 </t>
  </si>
  <si>
    <t>2426632.373 </t>
  </si>
  <si>
    <t> 17.10.1931 20:57 </t>
  </si>
  <si>
    <t> -0.598 </t>
  </si>
  <si>
    <t>2426647.226 </t>
  </si>
  <si>
    <t> 01.11.1931 17:25 </t>
  </si>
  <si>
    <t> -0.250 </t>
  </si>
  <si>
    <t>2426930.420 </t>
  </si>
  <si>
    <t> 10.08.1932 22:04 </t>
  </si>
  <si>
    <t> 0.101 </t>
  </si>
  <si>
    <t>2427278.536 </t>
  </si>
  <si>
    <t> 25.07.1933 00:51 </t>
  </si>
  <si>
    <t> 0.103 </t>
  </si>
  <si>
    <t>2427307.438 </t>
  </si>
  <si>
    <t> 22.08.1933 22:30 </t>
  </si>
  <si>
    <t> -0.005 </t>
  </si>
  <si>
    <t> S.Beljawski </t>
  </si>
  <si>
    <t> PZ 4.256 </t>
  </si>
  <si>
    <t>2427336.354 </t>
  </si>
  <si>
    <t> 20.09.1933 20:29 </t>
  </si>
  <si>
    <t> -0.098 </t>
  </si>
  <si>
    <t>2427416.235 </t>
  </si>
  <si>
    <t> 09.12.1933 17:38 </t>
  </si>
  <si>
    <t> 0.007 </t>
  </si>
  <si>
    <t>2428845.244 </t>
  </si>
  <si>
    <t> 07.11.1937 17:51 </t>
  </si>
  <si>
    <t> 0.297 </t>
  </si>
  <si>
    <t>2429193.299 </t>
  </si>
  <si>
    <t> 21.10.1938 19:10 </t>
  </si>
  <si>
    <t> 0.238 </t>
  </si>
  <si>
    <t>2437453.512 </t>
  </si>
  <si>
    <t> 03.06.1961 00:17 </t>
  </si>
  <si>
    <t> -0.010 </t>
  </si>
  <si>
    <t> V.G.Karetnikov </t>
  </si>
  <si>
    <t> AC 1162.6 </t>
  </si>
  <si>
    <t>2437924.939 </t>
  </si>
  <si>
    <t> 17.09.1962 10:32 </t>
  </si>
  <si>
    <t> 0.012 </t>
  </si>
  <si>
    <t>2438258.530 </t>
  </si>
  <si>
    <t> 17.08.1963 00:43 </t>
  </si>
  <si>
    <t> -0.006 </t>
  </si>
  <si>
    <t>V </t>
  </si>
  <si>
    <t> K.Kordylewski </t>
  </si>
  <si>
    <t>IBVS 35 </t>
  </si>
  <si>
    <t>2438447.055 </t>
  </si>
  <si>
    <t> 21.02.1964 13:19 </t>
  </si>
  <si>
    <t> -0.043 </t>
  </si>
  <si>
    <t>2440086.079 </t>
  </si>
  <si>
    <t> 17.08.1968 13:53 </t>
  </si>
  <si>
    <t> -0.057 </t>
  </si>
  <si>
    <t>2441877.436 </t>
  </si>
  <si>
    <t> 13.07.1973 22:27 </t>
  </si>
  <si>
    <t> -0.038 </t>
  </si>
  <si>
    <t> K.Locher </t>
  </si>
  <si>
    <t> BBS 10 </t>
  </si>
  <si>
    <t>2445293.24 </t>
  </si>
  <si>
    <t> 19.11.1982 17:45 </t>
  </si>
  <si>
    <t> -0.10 </t>
  </si>
  <si>
    <t> T.Brelstaff </t>
  </si>
  <si>
    <t> VSSC 60.21 </t>
  </si>
  <si>
    <t>2445561.61 </t>
  </si>
  <si>
    <t> 15.08.1983 02:38 </t>
  </si>
  <si>
    <t> -0.07 </t>
  </si>
  <si>
    <t>2448114.42 </t>
  </si>
  <si>
    <t> 10.08.1990 22:04 </t>
  </si>
  <si>
    <t>E </t>
  </si>
  <si>
    <t>?</t>
  </si>
  <si>
    <t> A.Paschke </t>
  </si>
  <si>
    <t> BBS 96 </t>
  </si>
  <si>
    <t>2448143.40 </t>
  </si>
  <si>
    <t> 08.09.1990 21:36 </t>
  </si>
  <si>
    <t> -0.13 </t>
  </si>
  <si>
    <t>2451363.4456 </t>
  </si>
  <si>
    <t> 03.07.1999 22:41 </t>
  </si>
  <si>
    <t> -0.1414 </t>
  </si>
  <si>
    <t> J.Safar </t>
  </si>
  <si>
    <t>IBVS 5263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</si>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</sst>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15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0.0042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33867188"/>
        <c:axId val="36369237"/>
      </c:scatterChart>
      <c:valAx>
        <c:axId val="3386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crossBetween val="midCat"/>
        <c:dispUnits/>
      </c:valAx>
      <c:valAx>
        <c:axId val="363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"/>
          <c:y val="0.86825"/>
          <c:w val="0.798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5" TargetMode="External" /><Relationship Id="rId2" Type="http://schemas.openxmlformats.org/officeDocument/2006/relationships/hyperlink" Target="http://www.konkoly.hu/cgi-bin/IBVS?52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8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7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25</v>
      </c>
      <c r="B2" s="36" t="s">
        <v>40</v>
      </c>
    </row>
    <row r="4" spans="1:4" ht="12.75">
      <c r="A4" s="8" t="s">
        <v>0</v>
      </c>
      <c r="C4" s="3">
        <v>28366.29</v>
      </c>
      <c r="D4" s="4">
        <v>7.25238</v>
      </c>
    </row>
    <row r="5" spans="1:4" ht="12.75">
      <c r="A5" s="38" t="s">
        <v>141</v>
      </c>
      <c r="B5" s="22"/>
      <c r="C5" s="39">
        <v>-9.5</v>
      </c>
      <c r="D5" s="22" t="s">
        <v>142</v>
      </c>
    </row>
    <row r="6" ht="12.75">
      <c r="A6" s="8" t="s">
        <v>1</v>
      </c>
    </row>
    <row r="7" spans="1:3" ht="12.75">
      <c r="A7" t="s">
        <v>2</v>
      </c>
      <c r="C7">
        <f>+C4</f>
        <v>28366.29</v>
      </c>
    </row>
    <row r="8" spans="1:3" ht="12.75">
      <c r="A8" t="s">
        <v>3</v>
      </c>
      <c r="C8">
        <f>+D4</f>
        <v>7.25238</v>
      </c>
    </row>
    <row r="9" spans="1:4" ht="12.75">
      <c r="A9" s="40" t="s">
        <v>143</v>
      </c>
      <c r="B9" s="41">
        <v>33</v>
      </c>
      <c r="C9" s="42" t="str">
        <f>"F"&amp;B9</f>
        <v>F33</v>
      </c>
      <c r="D9" s="13" t="str">
        <f>"G"&amp;B9</f>
        <v>G33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3">
        <f ca="1">INTERCEPT(INDIRECT($D$9):G978,INDIRECT($C$9):F978)</f>
        <v>0.08032927269747633</v>
      </c>
      <c r="D11" s="6"/>
    </row>
    <row r="12" spans="1:4" ht="12.75">
      <c r="A12" t="s">
        <v>17</v>
      </c>
      <c r="C12" s="43">
        <f ca="1">SLOPE(INDIRECT($D$9):G978,INDIRECT($C$9):F978)</f>
        <v>-7.123461363169082E-05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4">
        <f>(C7+C11)+(C8+C12)*INT(MAX(F21:F3533))</f>
        <v>51363.44142431287</v>
      </c>
      <c r="E15" s="44" t="s">
        <v>144</v>
      </c>
      <c r="F15" s="39">
        <v>1</v>
      </c>
    </row>
    <row r="16" spans="1:6" ht="12.75">
      <c r="A16" s="8" t="s">
        <v>4</v>
      </c>
      <c r="C16" s="15">
        <f>+C8+C12</f>
        <v>7.252308765386368</v>
      </c>
      <c r="E16" s="44" t="s">
        <v>145</v>
      </c>
      <c r="F16" s="45">
        <f ca="1">NOW()+15018.5+$C$5/24</f>
        <v>59897.75032511574</v>
      </c>
    </row>
    <row r="17" spans="1:6" ht="13.5" thickBot="1">
      <c r="A17" s="16" t="s">
        <v>42</v>
      </c>
      <c r="C17">
        <f>COUNT(C21:C2191)</f>
        <v>23</v>
      </c>
      <c r="E17" s="44" t="s">
        <v>146</v>
      </c>
      <c r="F17" s="45">
        <f>ROUND(2*(F16-$C$7)/$C$8,0)/2+F15</f>
        <v>4348.5</v>
      </c>
    </row>
    <row r="18" spans="1:6" ht="12.75">
      <c r="A18" s="8" t="s">
        <v>5</v>
      </c>
      <c r="C18" s="3">
        <f>+C15</f>
        <v>51363.44142431287</v>
      </c>
      <c r="D18" s="4">
        <f>+C16</f>
        <v>7.252308765386368</v>
      </c>
      <c r="E18" s="44" t="s">
        <v>147</v>
      </c>
      <c r="F18" s="13">
        <f>ROUND(2*(F16-$C$15)/$C$16,0)/2+F15</f>
        <v>1178</v>
      </c>
    </row>
    <row r="19" spans="3:6" ht="13.5" thickTop="1">
      <c r="C19">
        <f>COUNT(C21:C3224)</f>
        <v>23</v>
      </c>
      <c r="E19" s="44" t="s">
        <v>148</v>
      </c>
      <c r="F19" s="46">
        <f>+$C$15+$C$16*F18-15018.5-$C$5/24</f>
        <v>44888.556983271345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51</v>
      </c>
      <c r="I20" s="10" t="s">
        <v>54</v>
      </c>
      <c r="J20" s="10" t="s">
        <v>48</v>
      </c>
      <c r="K20" s="10" t="s">
        <v>46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  <c r="U20" s="47" t="s">
        <v>149</v>
      </c>
    </row>
    <row r="21" spans="1:17" ht="12.75">
      <c r="A21" s="35" t="s">
        <v>61</v>
      </c>
      <c r="B21" s="37" t="s">
        <v>39</v>
      </c>
      <c r="C21" s="35">
        <v>26560.378</v>
      </c>
      <c r="D21" s="35" t="s">
        <v>54</v>
      </c>
      <c r="E21">
        <f aca="true" t="shared" si="0" ref="E21:E43">+(C21-C$7)/C$8</f>
        <v>-249.0095665147166</v>
      </c>
      <c r="F21">
        <f aca="true" t="shared" si="1" ref="F21:F43">ROUND(2*E21,0)/2</f>
        <v>-249</v>
      </c>
      <c r="G21">
        <f aca="true" t="shared" si="2" ref="G21:G29">+C21-(C$7+F21*C$8)</f>
        <v>-0.06938000000081956</v>
      </c>
      <c r="H21">
        <f aca="true" t="shared" si="3" ref="H21:H29">+G21</f>
        <v>-0.06938000000081956</v>
      </c>
      <c r="O21">
        <f aca="true" t="shared" si="4" ref="O21:O43">+C$11+C$12*$F21</f>
        <v>0.09806669149176735</v>
      </c>
      <c r="Q21" s="2">
        <f aca="true" t="shared" si="5" ref="Q21:Q43">+C21-15018.5</f>
        <v>11541.878</v>
      </c>
    </row>
    <row r="22" spans="1:17" ht="12.75">
      <c r="A22" s="35" t="s">
        <v>61</v>
      </c>
      <c r="B22" s="37" t="s">
        <v>39</v>
      </c>
      <c r="C22" s="35">
        <v>26589.319</v>
      </c>
      <c r="D22" s="35" t="s">
        <v>54</v>
      </c>
      <c r="E22">
        <f t="shared" si="0"/>
        <v>-245.01901444767117</v>
      </c>
      <c r="F22">
        <f t="shared" si="1"/>
        <v>-245</v>
      </c>
      <c r="G22">
        <f t="shared" si="2"/>
        <v>-0.13790000000153668</v>
      </c>
      <c r="H22">
        <f t="shared" si="3"/>
        <v>-0.13790000000153668</v>
      </c>
      <c r="O22">
        <f t="shared" si="4"/>
        <v>0.09778175303724058</v>
      </c>
      <c r="Q22" s="2">
        <f t="shared" si="5"/>
        <v>11570.819</v>
      </c>
    </row>
    <row r="23" spans="1:17" ht="12.75">
      <c r="A23" s="35" t="s">
        <v>61</v>
      </c>
      <c r="B23" s="37" t="s">
        <v>39</v>
      </c>
      <c r="C23" s="35">
        <v>26632.373</v>
      </c>
      <c r="D23" s="35" t="s">
        <v>54</v>
      </c>
      <c r="E23">
        <f t="shared" si="0"/>
        <v>-239.08248050984662</v>
      </c>
      <c r="F23">
        <f t="shared" si="1"/>
        <v>-239</v>
      </c>
      <c r="G23">
        <f t="shared" si="2"/>
        <v>-0.5981800000008661</v>
      </c>
      <c r="H23">
        <f t="shared" si="3"/>
        <v>-0.5981800000008661</v>
      </c>
      <c r="O23">
        <f t="shared" si="4"/>
        <v>0.09735434535545044</v>
      </c>
      <c r="Q23" s="2">
        <f t="shared" si="5"/>
        <v>11613.873</v>
      </c>
    </row>
    <row r="24" spans="1:17" ht="12.75">
      <c r="A24" s="35" t="s">
        <v>61</v>
      </c>
      <c r="B24" s="37" t="s">
        <v>39</v>
      </c>
      <c r="C24" s="35">
        <v>26647.226</v>
      </c>
      <c r="D24" s="35" t="s">
        <v>54</v>
      </c>
      <c r="E24">
        <f t="shared" si="0"/>
        <v>-237.0344631693323</v>
      </c>
      <c r="F24">
        <f t="shared" si="1"/>
        <v>-237</v>
      </c>
      <c r="G24">
        <f t="shared" si="2"/>
        <v>-0.24994000000151573</v>
      </c>
      <c r="H24">
        <f t="shared" si="3"/>
        <v>-0.24994000000151573</v>
      </c>
      <c r="O24">
        <f t="shared" si="4"/>
        <v>0.09721187612818706</v>
      </c>
      <c r="Q24" s="2">
        <f t="shared" si="5"/>
        <v>11628.725999999999</v>
      </c>
    </row>
    <row r="25" spans="1:17" ht="12.75">
      <c r="A25" s="35" t="s">
        <v>61</v>
      </c>
      <c r="B25" s="37" t="s">
        <v>39</v>
      </c>
      <c r="C25" s="35">
        <v>26930.42</v>
      </c>
      <c r="D25" s="35" t="s">
        <v>54</v>
      </c>
      <c r="E25">
        <f t="shared" si="0"/>
        <v>-197.9860404446544</v>
      </c>
      <c r="F25">
        <f t="shared" si="1"/>
        <v>-198</v>
      </c>
      <c r="G25">
        <f t="shared" si="2"/>
        <v>0.1012399999963236</v>
      </c>
      <c r="H25">
        <f t="shared" si="3"/>
        <v>0.1012399999963236</v>
      </c>
      <c r="O25">
        <f t="shared" si="4"/>
        <v>0.09443372619655112</v>
      </c>
      <c r="Q25" s="2">
        <f t="shared" si="5"/>
        <v>11911.919999999998</v>
      </c>
    </row>
    <row r="26" spans="1:17" ht="12.75">
      <c r="A26" s="35" t="s">
        <v>61</v>
      </c>
      <c r="B26" s="37" t="s">
        <v>39</v>
      </c>
      <c r="C26" s="35">
        <v>27278.536</v>
      </c>
      <c r="D26" s="35" t="s">
        <v>54</v>
      </c>
      <c r="E26">
        <f t="shared" si="0"/>
        <v>-149.98579776569912</v>
      </c>
      <c r="F26">
        <f t="shared" si="1"/>
        <v>-150</v>
      </c>
      <c r="G26">
        <f t="shared" si="2"/>
        <v>0.10299999999915599</v>
      </c>
      <c r="H26">
        <f t="shared" si="3"/>
        <v>0.10299999999915599</v>
      </c>
      <c r="O26">
        <f t="shared" si="4"/>
        <v>0.09101446474222996</v>
      </c>
      <c r="Q26" s="2">
        <f t="shared" si="5"/>
        <v>12260.036</v>
      </c>
    </row>
    <row r="27" spans="1:17" ht="12.75">
      <c r="A27" s="35" t="s">
        <v>81</v>
      </c>
      <c r="B27" s="37" t="s">
        <v>39</v>
      </c>
      <c r="C27" s="35">
        <v>27307.438</v>
      </c>
      <c r="D27" s="35" t="s">
        <v>54</v>
      </c>
      <c r="E27">
        <f t="shared" si="0"/>
        <v>-146.00062324368037</v>
      </c>
      <c r="F27">
        <f t="shared" si="1"/>
        <v>-146</v>
      </c>
      <c r="G27">
        <f t="shared" si="2"/>
        <v>-0.0045200000022305176</v>
      </c>
      <c r="H27">
        <f t="shared" si="3"/>
        <v>-0.0045200000022305176</v>
      </c>
      <c r="O27">
        <f t="shared" si="4"/>
        <v>0.0907295262877032</v>
      </c>
      <c r="Q27" s="2">
        <f t="shared" si="5"/>
        <v>12288.937999999998</v>
      </c>
    </row>
    <row r="28" spans="1:17" ht="12.75">
      <c r="A28" s="35" t="s">
        <v>81</v>
      </c>
      <c r="B28" s="37" t="s">
        <v>39</v>
      </c>
      <c r="C28" s="35">
        <v>27336.354</v>
      </c>
      <c r="D28" s="35" t="s">
        <v>54</v>
      </c>
      <c r="E28">
        <f t="shared" si="0"/>
        <v>-142.01351832088247</v>
      </c>
      <c r="F28">
        <f t="shared" si="1"/>
        <v>-142</v>
      </c>
      <c r="G28">
        <f t="shared" si="2"/>
        <v>-0.09804000000076485</v>
      </c>
      <c r="H28">
        <f t="shared" si="3"/>
        <v>-0.09804000000076485</v>
      </c>
      <c r="O28">
        <f t="shared" si="4"/>
        <v>0.09044458783317644</v>
      </c>
      <c r="Q28" s="2">
        <f t="shared" si="5"/>
        <v>12317.854</v>
      </c>
    </row>
    <row r="29" spans="1:17" ht="12.75">
      <c r="A29" s="35" t="s">
        <v>61</v>
      </c>
      <c r="B29" s="37" t="s">
        <v>39</v>
      </c>
      <c r="C29" s="35">
        <v>27416.235</v>
      </c>
      <c r="D29" s="35" t="s">
        <v>54</v>
      </c>
      <c r="E29">
        <f t="shared" si="0"/>
        <v>-130.99906513448005</v>
      </c>
      <c r="F29">
        <f t="shared" si="1"/>
        <v>-131</v>
      </c>
      <c r="G29">
        <f t="shared" si="2"/>
        <v>0.0067799999997077975</v>
      </c>
      <c r="H29">
        <f t="shared" si="3"/>
        <v>0.0067799999997077975</v>
      </c>
      <c r="O29">
        <f t="shared" si="4"/>
        <v>0.08966100708322783</v>
      </c>
      <c r="Q29" s="2">
        <f t="shared" si="5"/>
        <v>12397.735</v>
      </c>
    </row>
    <row r="30" spans="1:17" ht="12.75">
      <c r="A30" t="s">
        <v>12</v>
      </c>
      <c r="C30" s="17">
        <v>28366.29</v>
      </c>
      <c r="D30" s="17" t="s">
        <v>14</v>
      </c>
      <c r="E30">
        <f t="shared" si="0"/>
        <v>0</v>
      </c>
      <c r="F30">
        <f t="shared" si="1"/>
        <v>0</v>
      </c>
      <c r="H30" s="13">
        <v>0</v>
      </c>
      <c r="O30">
        <f t="shared" si="4"/>
        <v>0.08032927269747633</v>
      </c>
      <c r="Q30" s="2">
        <f t="shared" si="5"/>
        <v>13347.79</v>
      </c>
    </row>
    <row r="31" spans="1:17" ht="12.75">
      <c r="A31" s="35" t="s">
        <v>61</v>
      </c>
      <c r="B31" s="37" t="s">
        <v>39</v>
      </c>
      <c r="C31" s="35">
        <v>28845.244</v>
      </c>
      <c r="D31" s="35" t="s">
        <v>54</v>
      </c>
      <c r="E31">
        <f t="shared" si="0"/>
        <v>66.04094104280222</v>
      </c>
      <c r="F31">
        <f t="shared" si="1"/>
        <v>66</v>
      </c>
      <c r="G31">
        <f aca="true" t="shared" si="6" ref="G31:G43">+C31-(C$7+F31*C$8)</f>
        <v>0.2969199999970442</v>
      </c>
      <c r="H31">
        <f>+G31</f>
        <v>0.2969199999970442</v>
      </c>
      <c r="O31">
        <f t="shared" si="4"/>
        <v>0.07562778819778473</v>
      </c>
      <c r="Q31" s="2">
        <f t="shared" si="5"/>
        <v>13826.743999999999</v>
      </c>
    </row>
    <row r="32" spans="1:17" ht="12.75">
      <c r="A32" s="35" t="s">
        <v>61</v>
      </c>
      <c r="B32" s="37" t="s">
        <v>39</v>
      </c>
      <c r="C32" s="35">
        <v>29193.299</v>
      </c>
      <c r="D32" s="35" t="s">
        <v>54</v>
      </c>
      <c r="E32">
        <f t="shared" si="0"/>
        <v>114.03277268979262</v>
      </c>
      <c r="F32">
        <f t="shared" si="1"/>
        <v>114</v>
      </c>
      <c r="G32">
        <f t="shared" si="6"/>
        <v>0.2376799999983632</v>
      </c>
      <c r="H32">
        <f>+G32</f>
        <v>0.2376799999983632</v>
      </c>
      <c r="O32">
        <f t="shared" si="4"/>
        <v>0.07220852674346358</v>
      </c>
      <c r="Q32" s="2">
        <f t="shared" si="5"/>
        <v>14174.798999999999</v>
      </c>
    </row>
    <row r="33" spans="1:17" ht="12.75">
      <c r="A33" s="35" t="s">
        <v>98</v>
      </c>
      <c r="B33" s="37" t="s">
        <v>39</v>
      </c>
      <c r="C33" s="35">
        <v>37453.512</v>
      </c>
      <c r="D33" s="35" t="s">
        <v>54</v>
      </c>
      <c r="E33">
        <f t="shared" si="0"/>
        <v>1252.9986018382933</v>
      </c>
      <c r="F33">
        <f t="shared" si="1"/>
        <v>1253</v>
      </c>
      <c r="G33">
        <f t="shared" si="6"/>
        <v>-0.01013999999850057</v>
      </c>
      <c r="H33">
        <f>+G33</f>
        <v>-0.01013999999850057</v>
      </c>
      <c r="O33">
        <f t="shared" si="4"/>
        <v>-0.008927698183032268</v>
      </c>
      <c r="Q33" s="2">
        <f t="shared" si="5"/>
        <v>22435.012000000002</v>
      </c>
    </row>
    <row r="34" spans="1:17" ht="12.75">
      <c r="A34" s="35" t="s">
        <v>98</v>
      </c>
      <c r="B34" s="37" t="s">
        <v>39</v>
      </c>
      <c r="C34" s="35">
        <v>37924.939</v>
      </c>
      <c r="D34" s="35" t="s">
        <v>54</v>
      </c>
      <c r="E34">
        <f t="shared" si="0"/>
        <v>1318.0016766909619</v>
      </c>
      <c r="F34">
        <f t="shared" si="1"/>
        <v>1318</v>
      </c>
      <c r="G34">
        <f t="shared" si="6"/>
        <v>0.012159999998402782</v>
      </c>
      <c r="H34">
        <f>+G34</f>
        <v>0.012159999998402782</v>
      </c>
      <c r="O34">
        <f t="shared" si="4"/>
        <v>-0.013557948069092163</v>
      </c>
      <c r="Q34" s="2">
        <f t="shared" si="5"/>
        <v>22906.439</v>
      </c>
    </row>
    <row r="35" spans="1:17" ht="12.75">
      <c r="A35" s="11" t="s">
        <v>41</v>
      </c>
      <c r="B35" s="12"/>
      <c r="C35" s="18">
        <v>38258.53</v>
      </c>
      <c r="D35" s="17"/>
      <c r="E35">
        <f t="shared" si="0"/>
        <v>1363.999128561934</v>
      </c>
      <c r="F35">
        <f t="shared" si="1"/>
        <v>1364</v>
      </c>
      <c r="G35">
        <f t="shared" si="6"/>
        <v>-0.0063200000004144385</v>
      </c>
      <c r="I35">
        <f>+G35</f>
        <v>-0.0063200000004144385</v>
      </c>
      <c r="O35">
        <f t="shared" si="4"/>
        <v>-0.01683474029614994</v>
      </c>
      <c r="Q35" s="2">
        <f t="shared" si="5"/>
        <v>23240.03</v>
      </c>
    </row>
    <row r="36" spans="1:17" ht="12.75">
      <c r="A36" s="35" t="s">
        <v>98</v>
      </c>
      <c r="B36" s="37" t="s">
        <v>39</v>
      </c>
      <c r="C36" s="35">
        <v>38447.055</v>
      </c>
      <c r="D36" s="35" t="s">
        <v>54</v>
      </c>
      <c r="E36">
        <f t="shared" si="0"/>
        <v>1389.9940433347397</v>
      </c>
      <c r="F36">
        <f t="shared" si="1"/>
        <v>1390</v>
      </c>
      <c r="G36">
        <f t="shared" si="6"/>
        <v>-0.04320000000006985</v>
      </c>
      <c r="H36">
        <f>+G36</f>
        <v>-0.04320000000006985</v>
      </c>
      <c r="O36">
        <f t="shared" si="4"/>
        <v>-0.018686840250573905</v>
      </c>
      <c r="Q36" s="2">
        <f t="shared" si="5"/>
        <v>23428.555</v>
      </c>
    </row>
    <row r="37" spans="1:17" ht="12.75">
      <c r="A37" s="35" t="s">
        <v>98</v>
      </c>
      <c r="B37" s="37" t="s">
        <v>39</v>
      </c>
      <c r="C37" s="35">
        <v>40086.079</v>
      </c>
      <c r="D37" s="35" t="s">
        <v>54</v>
      </c>
      <c r="E37">
        <f t="shared" si="0"/>
        <v>1615.992129480253</v>
      </c>
      <c r="F37">
        <f t="shared" si="1"/>
        <v>1616</v>
      </c>
      <c r="G37">
        <f t="shared" si="6"/>
        <v>-0.05707999999867752</v>
      </c>
      <c r="H37">
        <f>+G37</f>
        <v>-0.05707999999867752</v>
      </c>
      <c r="O37">
        <f t="shared" si="4"/>
        <v>-0.03478586293133602</v>
      </c>
      <c r="Q37" s="2">
        <f t="shared" si="5"/>
        <v>25067.578999999998</v>
      </c>
    </row>
    <row r="38" spans="1:32" ht="12.75">
      <c r="A38" t="s">
        <v>30</v>
      </c>
      <c r="C38" s="19">
        <v>41877.436</v>
      </c>
      <c r="D38" s="17"/>
      <c r="E38">
        <f t="shared" si="0"/>
        <v>1862.9947686138896</v>
      </c>
      <c r="F38">
        <f t="shared" si="1"/>
        <v>1863</v>
      </c>
      <c r="G38">
        <f t="shared" si="6"/>
        <v>-0.03793999999470543</v>
      </c>
      <c r="I38">
        <f>+G38</f>
        <v>-0.03793999999470543</v>
      </c>
      <c r="O38">
        <f t="shared" si="4"/>
        <v>-0.052380812498363655</v>
      </c>
      <c r="Q38" s="2">
        <f t="shared" si="5"/>
        <v>26858.936</v>
      </c>
      <c r="AC38">
        <v>8</v>
      </c>
      <c r="AD38" t="s">
        <v>29</v>
      </c>
      <c r="AF38" t="s">
        <v>31</v>
      </c>
    </row>
    <row r="39" spans="1:32" ht="12.75">
      <c r="A39" t="s">
        <v>33</v>
      </c>
      <c r="C39" s="19">
        <v>45293.24</v>
      </c>
      <c r="D39" s="17"/>
      <c r="E39">
        <f t="shared" si="0"/>
        <v>2333.9855330250207</v>
      </c>
      <c r="F39">
        <f t="shared" si="1"/>
        <v>2334</v>
      </c>
      <c r="G39">
        <f t="shared" si="6"/>
        <v>-0.10492000000522239</v>
      </c>
      <c r="I39">
        <f>+G39</f>
        <v>-0.10492000000522239</v>
      </c>
      <c r="O39">
        <f t="shared" si="4"/>
        <v>-0.08593231551889002</v>
      </c>
      <c r="Q39" s="2">
        <f t="shared" si="5"/>
        <v>30274.739999999998</v>
      </c>
      <c r="AB39" t="s">
        <v>32</v>
      </c>
      <c r="AF39" t="s">
        <v>34</v>
      </c>
    </row>
    <row r="40" spans="1:32" ht="12.75">
      <c r="A40" t="s">
        <v>33</v>
      </c>
      <c r="C40" s="19">
        <v>45561.61</v>
      </c>
      <c r="D40" s="17"/>
      <c r="E40">
        <f t="shared" si="0"/>
        <v>2370.9899370965118</v>
      </c>
      <c r="F40">
        <f t="shared" si="1"/>
        <v>2371</v>
      </c>
      <c r="G40">
        <f t="shared" si="6"/>
        <v>-0.0729799999971874</v>
      </c>
      <c r="I40">
        <f>+G40</f>
        <v>-0.0729799999971874</v>
      </c>
      <c r="O40">
        <f t="shared" si="4"/>
        <v>-0.08856799622326259</v>
      </c>
      <c r="Q40" s="2">
        <f t="shared" si="5"/>
        <v>30543.11</v>
      </c>
      <c r="AB40" t="s">
        <v>32</v>
      </c>
      <c r="AF40" t="s">
        <v>34</v>
      </c>
    </row>
    <row r="41" spans="1:32" ht="12.75">
      <c r="A41" t="s">
        <v>37</v>
      </c>
      <c r="C41" s="19">
        <v>48114.42</v>
      </c>
      <c r="D41" s="17"/>
      <c r="E41">
        <f t="shared" si="0"/>
        <v>2722.986109387539</v>
      </c>
      <c r="F41">
        <f t="shared" si="1"/>
        <v>2723</v>
      </c>
      <c r="G41">
        <f t="shared" si="6"/>
        <v>-0.10074000000167871</v>
      </c>
      <c r="I41">
        <f>+G41</f>
        <v>-0.10074000000167871</v>
      </c>
      <c r="O41">
        <f t="shared" si="4"/>
        <v>-0.11364258022161777</v>
      </c>
      <c r="Q41" s="2">
        <f t="shared" si="5"/>
        <v>33095.92</v>
      </c>
      <c r="AA41" t="s">
        <v>35</v>
      </c>
      <c r="AB41" t="s">
        <v>32</v>
      </c>
      <c r="AC41">
        <v>64</v>
      </c>
      <c r="AD41" t="s">
        <v>36</v>
      </c>
      <c r="AF41" t="s">
        <v>31</v>
      </c>
    </row>
    <row r="42" spans="1:32" ht="12.75">
      <c r="A42" t="s">
        <v>37</v>
      </c>
      <c r="C42" s="19">
        <v>48143.4</v>
      </c>
      <c r="D42" s="17"/>
      <c r="E42">
        <f t="shared" si="0"/>
        <v>2726.982038999611</v>
      </c>
      <c r="F42">
        <f t="shared" si="1"/>
        <v>2727</v>
      </c>
      <c r="G42">
        <f t="shared" si="6"/>
        <v>-0.13025999999808846</v>
      </c>
      <c r="I42">
        <f>+G42</f>
        <v>-0.13025999999808846</v>
      </c>
      <c r="O42">
        <f t="shared" si="4"/>
        <v>-0.11392751867614453</v>
      </c>
      <c r="Q42" s="2">
        <f t="shared" si="5"/>
        <v>33124.9</v>
      </c>
      <c r="AB42" t="s">
        <v>32</v>
      </c>
      <c r="AC42">
        <v>50</v>
      </c>
      <c r="AD42" t="s">
        <v>36</v>
      </c>
      <c r="AF42" t="s">
        <v>31</v>
      </c>
    </row>
    <row r="43" spans="1:17" ht="12.75">
      <c r="A43" t="s">
        <v>38</v>
      </c>
      <c r="B43" s="6" t="s">
        <v>39</v>
      </c>
      <c r="C43" s="20">
        <v>51363.4456</v>
      </c>
      <c r="D43" s="20">
        <v>0.0042</v>
      </c>
      <c r="E43">
        <f t="shared" si="0"/>
        <v>3170.9805057098497</v>
      </c>
      <c r="F43">
        <f t="shared" si="1"/>
        <v>3171</v>
      </c>
      <c r="G43">
        <f t="shared" si="6"/>
        <v>-0.14138000000093598</v>
      </c>
      <c r="J43">
        <f>+G43</f>
        <v>-0.14138000000093598</v>
      </c>
      <c r="O43">
        <f t="shared" si="4"/>
        <v>-0.14555568712861525</v>
      </c>
      <c r="Q43" s="2">
        <f t="shared" si="5"/>
        <v>36344.9456</v>
      </c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4"/>
  <sheetViews>
    <sheetView zoomScalePageLayoutView="0" workbookViewId="0" topLeftCell="A9">
      <selection activeCell="A18" sqref="A18:D32"/>
    </sheetView>
  </sheetViews>
  <sheetFormatPr defaultColWidth="9.140625" defaultRowHeight="12.75"/>
  <cols>
    <col min="1" max="1" width="19.7109375" style="17" customWidth="1"/>
    <col min="2" max="2" width="4.421875" style="22" customWidth="1"/>
    <col min="3" max="3" width="12.7109375" style="17" customWidth="1"/>
    <col min="4" max="4" width="5.421875" style="22" customWidth="1"/>
    <col min="5" max="5" width="14.8515625" style="22" customWidth="1"/>
    <col min="6" max="6" width="9.140625" style="22" customWidth="1"/>
    <col min="7" max="7" width="12.00390625" style="22" customWidth="1"/>
    <col min="8" max="8" width="14.140625" style="17" customWidth="1"/>
    <col min="9" max="9" width="22.57421875" style="22" customWidth="1"/>
    <col min="10" max="10" width="25.140625" style="22" customWidth="1"/>
    <col min="11" max="11" width="15.7109375" style="22" customWidth="1"/>
    <col min="12" max="12" width="14.140625" style="22" customWidth="1"/>
    <col min="13" max="13" width="9.57421875" style="22" customWidth="1"/>
    <col min="14" max="14" width="14.140625" style="22" customWidth="1"/>
    <col min="15" max="15" width="23.421875" style="22" customWidth="1"/>
    <col min="16" max="16" width="16.57421875" style="22" customWidth="1"/>
    <col min="17" max="17" width="41.00390625" style="22" customWidth="1"/>
    <col min="18" max="16384" width="9.140625" style="22" customWidth="1"/>
  </cols>
  <sheetData>
    <row r="1" spans="1:10" ht="15.75">
      <c r="A1" s="21" t="s">
        <v>44</v>
      </c>
      <c r="I1" s="23" t="s">
        <v>45</v>
      </c>
      <c r="J1" s="24" t="s">
        <v>46</v>
      </c>
    </row>
    <row r="2" spans="9:10" ht="12.75">
      <c r="I2" s="25" t="s">
        <v>47</v>
      </c>
      <c r="J2" s="26" t="s">
        <v>48</v>
      </c>
    </row>
    <row r="3" spans="1:10" ht="12.75">
      <c r="A3" s="27" t="s">
        <v>49</v>
      </c>
      <c r="I3" s="25" t="s">
        <v>50</v>
      </c>
      <c r="J3" s="26" t="s">
        <v>51</v>
      </c>
    </row>
    <row r="4" spans="9:10" ht="12.75">
      <c r="I4" s="25" t="s">
        <v>52</v>
      </c>
      <c r="J4" s="26" t="s">
        <v>51</v>
      </c>
    </row>
    <row r="5" spans="9:10" ht="13.5" thickBot="1">
      <c r="I5" s="28" t="s">
        <v>53</v>
      </c>
      <c r="J5" s="29" t="s">
        <v>54</v>
      </c>
    </row>
    <row r="10" ht="13.5" thickBot="1"/>
    <row r="11" spans="1:16" ht="12.75" customHeight="1" thickBot="1">
      <c r="A11" s="17" t="str">
        <f aca="true" t="shared" si="0" ref="A11:A32">P11</f>
        <v>IBVS 35 </v>
      </c>
      <c r="B11" s="6" t="str">
        <f aca="true" t="shared" si="1" ref="B11:B32">IF(H11=INT(H11),"I","II")</f>
        <v>I</v>
      </c>
      <c r="C11" s="17">
        <f aca="true" t="shared" si="2" ref="C11:C32">1*G11</f>
        <v>38258.53</v>
      </c>
      <c r="D11" s="22" t="str">
        <f aca="true" t="shared" si="3" ref="D11:D32">VLOOKUP(F11,I$1:J$5,2,FALSE)</f>
        <v>vis</v>
      </c>
      <c r="E11" s="30">
        <f>VLOOKUP(C11,A!C$21:E$973,3,FALSE)</f>
        <v>1363.999128561934</v>
      </c>
      <c r="F11" s="6" t="s">
        <v>53</v>
      </c>
      <c r="G11" s="22" t="str">
        <f aca="true" t="shared" si="4" ref="G11:G32">MID(I11,3,LEN(I11)-3)</f>
        <v>38258.530</v>
      </c>
      <c r="H11" s="17">
        <f aca="true" t="shared" si="5" ref="H11:H32">1*K11</f>
        <v>1364</v>
      </c>
      <c r="I11" s="31" t="s">
        <v>102</v>
      </c>
      <c r="J11" s="32" t="s">
        <v>103</v>
      </c>
      <c r="K11" s="31">
        <v>1364</v>
      </c>
      <c r="L11" s="31" t="s">
        <v>104</v>
      </c>
      <c r="M11" s="32" t="s">
        <v>105</v>
      </c>
      <c r="N11" s="32"/>
      <c r="O11" s="33" t="s">
        <v>106</v>
      </c>
      <c r="P11" s="34" t="s">
        <v>107</v>
      </c>
    </row>
    <row r="12" spans="1:16" ht="12.75" customHeight="1" thickBot="1">
      <c r="A12" s="17" t="str">
        <f t="shared" si="0"/>
        <v> BBS 10 </v>
      </c>
      <c r="B12" s="6" t="str">
        <f t="shared" si="1"/>
        <v>I</v>
      </c>
      <c r="C12" s="17">
        <f t="shared" si="2"/>
        <v>41877.436</v>
      </c>
      <c r="D12" s="22" t="str">
        <f t="shared" si="3"/>
        <v>vis</v>
      </c>
      <c r="E12" s="30">
        <f>VLOOKUP(C12,A!C$21:E$973,3,FALSE)</f>
        <v>1862.9947686138896</v>
      </c>
      <c r="F12" s="6" t="s">
        <v>53</v>
      </c>
      <c r="G12" s="22" t="str">
        <f t="shared" si="4"/>
        <v>41877.436</v>
      </c>
      <c r="H12" s="17">
        <f t="shared" si="5"/>
        <v>1863</v>
      </c>
      <c r="I12" s="31" t="s">
        <v>114</v>
      </c>
      <c r="J12" s="32" t="s">
        <v>115</v>
      </c>
      <c r="K12" s="31">
        <v>1863</v>
      </c>
      <c r="L12" s="31" t="s">
        <v>116</v>
      </c>
      <c r="M12" s="32" t="s">
        <v>105</v>
      </c>
      <c r="N12" s="32"/>
      <c r="O12" s="33" t="s">
        <v>117</v>
      </c>
      <c r="P12" s="33" t="s">
        <v>118</v>
      </c>
    </row>
    <row r="13" spans="1:16" ht="12.75" customHeight="1" thickBot="1">
      <c r="A13" s="17" t="str">
        <f t="shared" si="0"/>
        <v> VSSC 60.21 </v>
      </c>
      <c r="B13" s="6" t="str">
        <f t="shared" si="1"/>
        <v>I</v>
      </c>
      <c r="C13" s="17">
        <f t="shared" si="2"/>
        <v>45293.24</v>
      </c>
      <c r="D13" s="22" t="str">
        <f t="shared" si="3"/>
        <v>vis</v>
      </c>
      <c r="E13" s="30">
        <f>VLOOKUP(C13,A!C$21:E$973,3,FALSE)</f>
        <v>2333.9855330250207</v>
      </c>
      <c r="F13" s="6" t="s">
        <v>53</v>
      </c>
      <c r="G13" s="22" t="str">
        <f t="shared" si="4"/>
        <v>45293.24</v>
      </c>
      <c r="H13" s="17">
        <f t="shared" si="5"/>
        <v>2334</v>
      </c>
      <c r="I13" s="31" t="s">
        <v>119</v>
      </c>
      <c r="J13" s="32" t="s">
        <v>120</v>
      </c>
      <c r="K13" s="31">
        <v>2334</v>
      </c>
      <c r="L13" s="31" t="s">
        <v>121</v>
      </c>
      <c r="M13" s="32" t="s">
        <v>105</v>
      </c>
      <c r="N13" s="32"/>
      <c r="O13" s="33" t="s">
        <v>122</v>
      </c>
      <c r="P13" s="33" t="s">
        <v>123</v>
      </c>
    </row>
    <row r="14" spans="1:16" ht="12.75" customHeight="1" thickBot="1">
      <c r="A14" s="17" t="str">
        <f t="shared" si="0"/>
        <v> VSSC 60.21 </v>
      </c>
      <c r="B14" s="6" t="str">
        <f t="shared" si="1"/>
        <v>I</v>
      </c>
      <c r="C14" s="17">
        <f t="shared" si="2"/>
        <v>45561.61</v>
      </c>
      <c r="D14" s="22" t="str">
        <f t="shared" si="3"/>
        <v>vis</v>
      </c>
      <c r="E14" s="30">
        <f>VLOOKUP(C14,A!C$21:E$973,3,FALSE)</f>
        <v>2370.9899370965118</v>
      </c>
      <c r="F14" s="6" t="s">
        <v>53</v>
      </c>
      <c r="G14" s="22" t="str">
        <f t="shared" si="4"/>
        <v>45561.61</v>
      </c>
      <c r="H14" s="17">
        <f t="shared" si="5"/>
        <v>2371</v>
      </c>
      <c r="I14" s="31" t="s">
        <v>124</v>
      </c>
      <c r="J14" s="32" t="s">
        <v>125</v>
      </c>
      <c r="K14" s="31">
        <v>2371</v>
      </c>
      <c r="L14" s="31" t="s">
        <v>126</v>
      </c>
      <c r="M14" s="32" t="s">
        <v>105</v>
      </c>
      <c r="N14" s="32"/>
      <c r="O14" s="33" t="s">
        <v>122</v>
      </c>
      <c r="P14" s="33" t="s">
        <v>123</v>
      </c>
    </row>
    <row r="15" spans="1:16" ht="12.75" customHeight="1" thickBot="1">
      <c r="A15" s="17" t="str">
        <f t="shared" si="0"/>
        <v> BBS 96 </v>
      </c>
      <c r="B15" s="6" t="str">
        <f t="shared" si="1"/>
        <v>I</v>
      </c>
      <c r="C15" s="17">
        <f t="shared" si="2"/>
        <v>48114.42</v>
      </c>
      <c r="D15" s="22" t="str">
        <f t="shared" si="3"/>
        <v>vis</v>
      </c>
      <c r="E15" s="30">
        <f>VLOOKUP(C15,A!C$21:E$973,3,FALSE)</f>
        <v>2722.986109387539</v>
      </c>
      <c r="F15" s="6" t="s">
        <v>53</v>
      </c>
      <c r="G15" s="22" t="str">
        <f t="shared" si="4"/>
        <v>48114.42</v>
      </c>
      <c r="H15" s="17">
        <f t="shared" si="5"/>
        <v>2723</v>
      </c>
      <c r="I15" s="31" t="s">
        <v>127</v>
      </c>
      <c r="J15" s="32" t="s">
        <v>128</v>
      </c>
      <c r="K15" s="31">
        <v>2723</v>
      </c>
      <c r="L15" s="31" t="s">
        <v>121</v>
      </c>
      <c r="M15" s="32" t="s">
        <v>129</v>
      </c>
      <c r="N15" s="32" t="s">
        <v>130</v>
      </c>
      <c r="O15" s="33" t="s">
        <v>131</v>
      </c>
      <c r="P15" s="33" t="s">
        <v>132</v>
      </c>
    </row>
    <row r="16" spans="1:16" ht="12.75" customHeight="1" thickBot="1">
      <c r="A16" s="17" t="str">
        <f t="shared" si="0"/>
        <v> BBS 96 </v>
      </c>
      <c r="B16" s="6" t="str">
        <f t="shared" si="1"/>
        <v>I</v>
      </c>
      <c r="C16" s="17">
        <f t="shared" si="2"/>
        <v>48143.4</v>
      </c>
      <c r="D16" s="22" t="str">
        <f t="shared" si="3"/>
        <v>vis</v>
      </c>
      <c r="E16" s="30">
        <f>VLOOKUP(C16,A!C$21:E$973,3,FALSE)</f>
        <v>2726.982038999611</v>
      </c>
      <c r="F16" s="6" t="s">
        <v>53</v>
      </c>
      <c r="G16" s="22" t="str">
        <f t="shared" si="4"/>
        <v>48143.40</v>
      </c>
      <c r="H16" s="17">
        <f t="shared" si="5"/>
        <v>2727</v>
      </c>
      <c r="I16" s="31" t="s">
        <v>133</v>
      </c>
      <c r="J16" s="32" t="s">
        <v>134</v>
      </c>
      <c r="K16" s="31">
        <v>2727</v>
      </c>
      <c r="L16" s="31" t="s">
        <v>135</v>
      </c>
      <c r="M16" s="32" t="s">
        <v>129</v>
      </c>
      <c r="N16" s="32" t="s">
        <v>130</v>
      </c>
      <c r="O16" s="33" t="s">
        <v>131</v>
      </c>
      <c r="P16" s="33" t="s">
        <v>132</v>
      </c>
    </row>
    <row r="17" spans="1:16" ht="12.75" customHeight="1" thickBot="1">
      <c r="A17" s="17" t="str">
        <f t="shared" si="0"/>
        <v>IBVS 5263 </v>
      </c>
      <c r="B17" s="6" t="str">
        <f t="shared" si="1"/>
        <v>I</v>
      </c>
      <c r="C17" s="17">
        <f t="shared" si="2"/>
        <v>51363.4456</v>
      </c>
      <c r="D17" s="22" t="str">
        <f t="shared" si="3"/>
        <v>vis</v>
      </c>
      <c r="E17" s="30">
        <f>VLOOKUP(C17,A!C$21:E$973,3,FALSE)</f>
        <v>3170.9805057098497</v>
      </c>
      <c r="F17" s="6" t="s">
        <v>53</v>
      </c>
      <c r="G17" s="22" t="str">
        <f t="shared" si="4"/>
        <v>51363.4456</v>
      </c>
      <c r="H17" s="17">
        <f t="shared" si="5"/>
        <v>3171</v>
      </c>
      <c r="I17" s="31" t="s">
        <v>136</v>
      </c>
      <c r="J17" s="32" t="s">
        <v>137</v>
      </c>
      <c r="K17" s="31">
        <v>3171</v>
      </c>
      <c r="L17" s="31" t="s">
        <v>138</v>
      </c>
      <c r="M17" s="32" t="s">
        <v>129</v>
      </c>
      <c r="N17" s="32" t="s">
        <v>130</v>
      </c>
      <c r="O17" s="33" t="s">
        <v>139</v>
      </c>
      <c r="P17" s="34" t="s">
        <v>140</v>
      </c>
    </row>
    <row r="18" spans="1:16" ht="12.75" customHeight="1" thickBot="1">
      <c r="A18" s="17" t="str">
        <f t="shared" si="0"/>
        <v> AN 278.182 </v>
      </c>
      <c r="B18" s="6" t="str">
        <f t="shared" si="1"/>
        <v>I</v>
      </c>
      <c r="C18" s="17">
        <f t="shared" si="2"/>
        <v>26560.378</v>
      </c>
      <c r="D18" s="22" t="str">
        <f t="shared" si="3"/>
        <v>vis</v>
      </c>
      <c r="E18" s="30">
        <f>VLOOKUP(C18,A!C$21:E$973,3,FALSE)</f>
        <v>-249.0095665147166</v>
      </c>
      <c r="F18" s="6" t="s">
        <v>53</v>
      </c>
      <c r="G18" s="22" t="str">
        <f t="shared" si="4"/>
        <v>26560.378</v>
      </c>
      <c r="H18" s="17">
        <f t="shared" si="5"/>
        <v>-249</v>
      </c>
      <c r="I18" s="31" t="s">
        <v>56</v>
      </c>
      <c r="J18" s="32" t="s">
        <v>57</v>
      </c>
      <c r="K18" s="31">
        <v>-249</v>
      </c>
      <c r="L18" s="31" t="s">
        <v>58</v>
      </c>
      <c r="M18" s="32" t="s">
        <v>59</v>
      </c>
      <c r="N18" s="32"/>
      <c r="O18" s="33" t="s">
        <v>60</v>
      </c>
      <c r="P18" s="33" t="s">
        <v>61</v>
      </c>
    </row>
    <row r="19" spans="1:16" ht="12.75" customHeight="1" thickBot="1">
      <c r="A19" s="17" t="str">
        <f t="shared" si="0"/>
        <v> AN 278.182 </v>
      </c>
      <c r="B19" s="6" t="str">
        <f t="shared" si="1"/>
        <v>I</v>
      </c>
      <c r="C19" s="17">
        <f t="shared" si="2"/>
        <v>26589.319</v>
      </c>
      <c r="D19" s="22" t="str">
        <f t="shared" si="3"/>
        <v>vis</v>
      </c>
      <c r="E19" s="30">
        <f>VLOOKUP(C19,A!C$21:E$973,3,FALSE)</f>
        <v>-245.01901444767117</v>
      </c>
      <c r="F19" s="6" t="s">
        <v>53</v>
      </c>
      <c r="G19" s="22" t="str">
        <f t="shared" si="4"/>
        <v>26589.319</v>
      </c>
      <c r="H19" s="17">
        <f t="shared" si="5"/>
        <v>-245</v>
      </c>
      <c r="I19" s="31" t="s">
        <v>62</v>
      </c>
      <c r="J19" s="32" t="s">
        <v>63</v>
      </c>
      <c r="K19" s="31">
        <v>-245</v>
      </c>
      <c r="L19" s="31" t="s">
        <v>64</v>
      </c>
      <c r="M19" s="32" t="s">
        <v>59</v>
      </c>
      <c r="N19" s="32"/>
      <c r="O19" s="33" t="s">
        <v>60</v>
      </c>
      <c r="P19" s="33" t="s">
        <v>61</v>
      </c>
    </row>
    <row r="20" spans="1:16" ht="12.75" customHeight="1" thickBot="1">
      <c r="A20" s="17" t="str">
        <f t="shared" si="0"/>
        <v> AN 278.182 </v>
      </c>
      <c r="B20" s="6" t="str">
        <f t="shared" si="1"/>
        <v>I</v>
      </c>
      <c r="C20" s="17">
        <f t="shared" si="2"/>
        <v>26632.373</v>
      </c>
      <c r="D20" s="22" t="str">
        <f t="shared" si="3"/>
        <v>vis</v>
      </c>
      <c r="E20" s="30">
        <f>VLOOKUP(C20,A!C$21:E$973,3,FALSE)</f>
        <v>-239.08248050984662</v>
      </c>
      <c r="F20" s="6" t="s">
        <v>53</v>
      </c>
      <c r="G20" s="22" t="str">
        <f t="shared" si="4"/>
        <v>26632.373</v>
      </c>
      <c r="H20" s="17">
        <f t="shared" si="5"/>
        <v>-239</v>
      </c>
      <c r="I20" s="31" t="s">
        <v>65</v>
      </c>
      <c r="J20" s="32" t="s">
        <v>66</v>
      </c>
      <c r="K20" s="31">
        <v>-239</v>
      </c>
      <c r="L20" s="31" t="s">
        <v>67</v>
      </c>
      <c r="M20" s="32" t="s">
        <v>59</v>
      </c>
      <c r="N20" s="32"/>
      <c r="O20" s="33" t="s">
        <v>60</v>
      </c>
      <c r="P20" s="33" t="s">
        <v>61</v>
      </c>
    </row>
    <row r="21" spans="1:16" ht="12.75" customHeight="1" thickBot="1">
      <c r="A21" s="17" t="str">
        <f t="shared" si="0"/>
        <v> AN 278.182 </v>
      </c>
      <c r="B21" s="6" t="str">
        <f t="shared" si="1"/>
        <v>I</v>
      </c>
      <c r="C21" s="17">
        <f t="shared" si="2"/>
        <v>26647.226</v>
      </c>
      <c r="D21" s="22" t="str">
        <f t="shared" si="3"/>
        <v>vis</v>
      </c>
      <c r="E21" s="30">
        <f>VLOOKUP(C21,A!C$21:E$973,3,FALSE)</f>
        <v>-237.0344631693323</v>
      </c>
      <c r="F21" s="6" t="s">
        <v>53</v>
      </c>
      <c r="G21" s="22" t="str">
        <f t="shared" si="4"/>
        <v>26647.226</v>
      </c>
      <c r="H21" s="17">
        <f t="shared" si="5"/>
        <v>-237</v>
      </c>
      <c r="I21" s="31" t="s">
        <v>68</v>
      </c>
      <c r="J21" s="32" t="s">
        <v>69</v>
      </c>
      <c r="K21" s="31">
        <v>-237</v>
      </c>
      <c r="L21" s="31" t="s">
        <v>70</v>
      </c>
      <c r="M21" s="32" t="s">
        <v>59</v>
      </c>
      <c r="N21" s="32"/>
      <c r="O21" s="33" t="s">
        <v>60</v>
      </c>
      <c r="P21" s="33" t="s">
        <v>61</v>
      </c>
    </row>
    <row r="22" spans="1:16" ht="12.75" customHeight="1" thickBot="1">
      <c r="A22" s="17" t="str">
        <f t="shared" si="0"/>
        <v> AN 278.182 </v>
      </c>
      <c r="B22" s="6" t="str">
        <f t="shared" si="1"/>
        <v>I</v>
      </c>
      <c r="C22" s="17">
        <f t="shared" si="2"/>
        <v>26930.42</v>
      </c>
      <c r="D22" s="22" t="str">
        <f t="shared" si="3"/>
        <v>vis</v>
      </c>
      <c r="E22" s="30">
        <f>VLOOKUP(C22,A!C$21:E$973,3,FALSE)</f>
        <v>-197.9860404446544</v>
      </c>
      <c r="F22" s="6" t="s">
        <v>53</v>
      </c>
      <c r="G22" s="22" t="str">
        <f t="shared" si="4"/>
        <v>26930.420</v>
      </c>
      <c r="H22" s="17">
        <f t="shared" si="5"/>
        <v>-198</v>
      </c>
      <c r="I22" s="31" t="s">
        <v>71</v>
      </c>
      <c r="J22" s="32" t="s">
        <v>72</v>
      </c>
      <c r="K22" s="31">
        <v>-198</v>
      </c>
      <c r="L22" s="31" t="s">
        <v>73</v>
      </c>
      <c r="M22" s="32" t="s">
        <v>59</v>
      </c>
      <c r="N22" s="32"/>
      <c r="O22" s="33" t="s">
        <v>60</v>
      </c>
      <c r="P22" s="33" t="s">
        <v>61</v>
      </c>
    </row>
    <row r="23" spans="1:16" ht="12.75" customHeight="1" thickBot="1">
      <c r="A23" s="17" t="str">
        <f t="shared" si="0"/>
        <v> AN 278.182 </v>
      </c>
      <c r="B23" s="6" t="str">
        <f t="shared" si="1"/>
        <v>I</v>
      </c>
      <c r="C23" s="17">
        <f t="shared" si="2"/>
        <v>27278.536</v>
      </c>
      <c r="D23" s="22" t="str">
        <f t="shared" si="3"/>
        <v>vis</v>
      </c>
      <c r="E23" s="30">
        <f>VLOOKUP(C23,A!C$21:E$973,3,FALSE)</f>
        <v>-149.98579776569912</v>
      </c>
      <c r="F23" s="6" t="s">
        <v>53</v>
      </c>
      <c r="G23" s="22" t="str">
        <f t="shared" si="4"/>
        <v>27278.536</v>
      </c>
      <c r="H23" s="17">
        <f t="shared" si="5"/>
        <v>-150</v>
      </c>
      <c r="I23" s="31" t="s">
        <v>74</v>
      </c>
      <c r="J23" s="32" t="s">
        <v>75</v>
      </c>
      <c r="K23" s="31">
        <v>-150</v>
      </c>
      <c r="L23" s="31" t="s">
        <v>76</v>
      </c>
      <c r="M23" s="32" t="s">
        <v>59</v>
      </c>
      <c r="N23" s="32"/>
      <c r="O23" s="33" t="s">
        <v>60</v>
      </c>
      <c r="P23" s="33" t="s">
        <v>61</v>
      </c>
    </row>
    <row r="24" spans="1:16" ht="12.75" customHeight="1" thickBot="1">
      <c r="A24" s="17" t="str">
        <f t="shared" si="0"/>
        <v> PZ 4.256 </v>
      </c>
      <c r="B24" s="6" t="str">
        <f t="shared" si="1"/>
        <v>I</v>
      </c>
      <c r="C24" s="17">
        <f t="shared" si="2"/>
        <v>27307.438</v>
      </c>
      <c r="D24" s="22" t="str">
        <f t="shared" si="3"/>
        <v>vis</v>
      </c>
      <c r="E24" s="30">
        <f>VLOOKUP(C24,A!C$21:E$973,3,FALSE)</f>
        <v>-146.00062324368037</v>
      </c>
      <c r="F24" s="6" t="s">
        <v>53</v>
      </c>
      <c r="G24" s="22" t="str">
        <f t="shared" si="4"/>
        <v>27307.438</v>
      </c>
      <c r="H24" s="17">
        <f t="shared" si="5"/>
        <v>-146</v>
      </c>
      <c r="I24" s="31" t="s">
        <v>77</v>
      </c>
      <c r="J24" s="32" t="s">
        <v>78</v>
      </c>
      <c r="K24" s="31">
        <v>-146</v>
      </c>
      <c r="L24" s="31" t="s">
        <v>79</v>
      </c>
      <c r="M24" s="32" t="s">
        <v>59</v>
      </c>
      <c r="N24" s="32"/>
      <c r="O24" s="33" t="s">
        <v>80</v>
      </c>
      <c r="P24" s="33" t="s">
        <v>81</v>
      </c>
    </row>
    <row r="25" spans="1:16" ht="12.75" customHeight="1" thickBot="1">
      <c r="A25" s="17" t="str">
        <f t="shared" si="0"/>
        <v> PZ 4.256 </v>
      </c>
      <c r="B25" s="6" t="str">
        <f t="shared" si="1"/>
        <v>I</v>
      </c>
      <c r="C25" s="17">
        <f t="shared" si="2"/>
        <v>27336.354</v>
      </c>
      <c r="D25" s="22" t="str">
        <f t="shared" si="3"/>
        <v>vis</v>
      </c>
      <c r="E25" s="30">
        <f>VLOOKUP(C25,A!C$21:E$973,3,FALSE)</f>
        <v>-142.01351832088247</v>
      </c>
      <c r="F25" s="6" t="s">
        <v>53</v>
      </c>
      <c r="G25" s="22" t="str">
        <f t="shared" si="4"/>
        <v>27336.354</v>
      </c>
      <c r="H25" s="17">
        <f t="shared" si="5"/>
        <v>-142</v>
      </c>
      <c r="I25" s="31" t="s">
        <v>82</v>
      </c>
      <c r="J25" s="32" t="s">
        <v>83</v>
      </c>
      <c r="K25" s="31">
        <v>-142</v>
      </c>
      <c r="L25" s="31" t="s">
        <v>84</v>
      </c>
      <c r="M25" s="32" t="s">
        <v>59</v>
      </c>
      <c r="N25" s="32"/>
      <c r="O25" s="33" t="s">
        <v>80</v>
      </c>
      <c r="P25" s="33" t="s">
        <v>81</v>
      </c>
    </row>
    <row r="26" spans="1:16" ht="12.75" customHeight="1" thickBot="1">
      <c r="A26" s="17" t="str">
        <f t="shared" si="0"/>
        <v> AN 278.182 </v>
      </c>
      <c r="B26" s="6" t="str">
        <f t="shared" si="1"/>
        <v>I</v>
      </c>
      <c r="C26" s="17">
        <f t="shared" si="2"/>
        <v>27416.235</v>
      </c>
      <c r="D26" s="22" t="str">
        <f t="shared" si="3"/>
        <v>vis</v>
      </c>
      <c r="E26" s="30">
        <f>VLOOKUP(C26,A!C$21:E$973,3,FALSE)</f>
        <v>-130.99906513448005</v>
      </c>
      <c r="F26" s="6" t="s">
        <v>53</v>
      </c>
      <c r="G26" s="22" t="str">
        <f t="shared" si="4"/>
        <v>27416.235</v>
      </c>
      <c r="H26" s="17">
        <f t="shared" si="5"/>
        <v>-131</v>
      </c>
      <c r="I26" s="31" t="s">
        <v>85</v>
      </c>
      <c r="J26" s="32" t="s">
        <v>86</v>
      </c>
      <c r="K26" s="31">
        <v>-131</v>
      </c>
      <c r="L26" s="31" t="s">
        <v>87</v>
      </c>
      <c r="M26" s="32" t="s">
        <v>59</v>
      </c>
      <c r="N26" s="32"/>
      <c r="O26" s="33" t="s">
        <v>60</v>
      </c>
      <c r="P26" s="33" t="s">
        <v>61</v>
      </c>
    </row>
    <row r="27" spans="1:16" ht="12.75" customHeight="1" thickBot="1">
      <c r="A27" s="17" t="str">
        <f t="shared" si="0"/>
        <v> AN 278.182 </v>
      </c>
      <c r="B27" s="6" t="str">
        <f t="shared" si="1"/>
        <v>I</v>
      </c>
      <c r="C27" s="17">
        <f t="shared" si="2"/>
        <v>28845.244</v>
      </c>
      <c r="D27" s="22" t="str">
        <f t="shared" si="3"/>
        <v>vis</v>
      </c>
      <c r="E27" s="30">
        <f>VLOOKUP(C27,A!C$21:E$973,3,FALSE)</f>
        <v>66.04094104280222</v>
      </c>
      <c r="F27" s="6" t="s">
        <v>53</v>
      </c>
      <c r="G27" s="22" t="str">
        <f t="shared" si="4"/>
        <v>28845.244</v>
      </c>
      <c r="H27" s="17">
        <f t="shared" si="5"/>
        <v>66</v>
      </c>
      <c r="I27" s="31" t="s">
        <v>88</v>
      </c>
      <c r="J27" s="32" t="s">
        <v>89</v>
      </c>
      <c r="K27" s="31">
        <v>66</v>
      </c>
      <c r="L27" s="31" t="s">
        <v>90</v>
      </c>
      <c r="M27" s="32" t="s">
        <v>59</v>
      </c>
      <c r="N27" s="32"/>
      <c r="O27" s="33" t="s">
        <v>60</v>
      </c>
      <c r="P27" s="33" t="s">
        <v>61</v>
      </c>
    </row>
    <row r="28" spans="1:16" ht="12.75" customHeight="1" thickBot="1">
      <c r="A28" s="17" t="str">
        <f t="shared" si="0"/>
        <v> AN 278.182 </v>
      </c>
      <c r="B28" s="6" t="str">
        <f t="shared" si="1"/>
        <v>I</v>
      </c>
      <c r="C28" s="17">
        <f t="shared" si="2"/>
        <v>29193.299</v>
      </c>
      <c r="D28" s="22" t="str">
        <f t="shared" si="3"/>
        <v>vis</v>
      </c>
      <c r="E28" s="30">
        <f>VLOOKUP(C28,A!C$21:E$973,3,FALSE)</f>
        <v>114.03277268979262</v>
      </c>
      <c r="F28" s="6" t="s">
        <v>53</v>
      </c>
      <c r="G28" s="22" t="str">
        <f t="shared" si="4"/>
        <v>29193.299</v>
      </c>
      <c r="H28" s="17">
        <f t="shared" si="5"/>
        <v>114</v>
      </c>
      <c r="I28" s="31" t="s">
        <v>91</v>
      </c>
      <c r="J28" s="32" t="s">
        <v>92</v>
      </c>
      <c r="K28" s="31">
        <v>114</v>
      </c>
      <c r="L28" s="31" t="s">
        <v>93</v>
      </c>
      <c r="M28" s="32" t="s">
        <v>59</v>
      </c>
      <c r="N28" s="32"/>
      <c r="O28" s="33" t="s">
        <v>60</v>
      </c>
      <c r="P28" s="33" t="s">
        <v>61</v>
      </c>
    </row>
    <row r="29" spans="1:16" ht="12.75" customHeight="1" thickBot="1">
      <c r="A29" s="17" t="str">
        <f t="shared" si="0"/>
        <v> AC 1162.6 </v>
      </c>
      <c r="B29" s="6" t="str">
        <f t="shared" si="1"/>
        <v>I</v>
      </c>
      <c r="C29" s="17">
        <f t="shared" si="2"/>
        <v>37453.512</v>
      </c>
      <c r="D29" s="22" t="str">
        <f t="shared" si="3"/>
        <v>vis</v>
      </c>
      <c r="E29" s="30">
        <f>VLOOKUP(C29,A!C$21:E$973,3,FALSE)</f>
        <v>1252.9986018382933</v>
      </c>
      <c r="F29" s="6" t="s">
        <v>53</v>
      </c>
      <c r="G29" s="22" t="str">
        <f t="shared" si="4"/>
        <v>37453.512</v>
      </c>
      <c r="H29" s="17">
        <f t="shared" si="5"/>
        <v>1253</v>
      </c>
      <c r="I29" s="31" t="s">
        <v>94</v>
      </c>
      <c r="J29" s="32" t="s">
        <v>95</v>
      </c>
      <c r="K29" s="31">
        <v>1253</v>
      </c>
      <c r="L29" s="31" t="s">
        <v>96</v>
      </c>
      <c r="M29" s="32" t="s">
        <v>55</v>
      </c>
      <c r="N29" s="32"/>
      <c r="O29" s="33" t="s">
        <v>97</v>
      </c>
      <c r="P29" s="33" t="s">
        <v>98</v>
      </c>
    </row>
    <row r="30" spans="1:16" ht="12.75" customHeight="1" thickBot="1">
      <c r="A30" s="17" t="str">
        <f t="shared" si="0"/>
        <v> AC 1162.6 </v>
      </c>
      <c r="B30" s="6" t="str">
        <f t="shared" si="1"/>
        <v>I</v>
      </c>
      <c r="C30" s="17">
        <f t="shared" si="2"/>
        <v>37924.939</v>
      </c>
      <c r="D30" s="22" t="str">
        <f t="shared" si="3"/>
        <v>vis</v>
      </c>
      <c r="E30" s="30">
        <f>VLOOKUP(C30,A!C$21:E$973,3,FALSE)</f>
        <v>1318.0016766909619</v>
      </c>
      <c r="F30" s="6" t="s">
        <v>53</v>
      </c>
      <c r="G30" s="22" t="str">
        <f t="shared" si="4"/>
        <v>37924.939</v>
      </c>
      <c r="H30" s="17">
        <f t="shared" si="5"/>
        <v>1318</v>
      </c>
      <c r="I30" s="31" t="s">
        <v>99</v>
      </c>
      <c r="J30" s="32" t="s">
        <v>100</v>
      </c>
      <c r="K30" s="31">
        <v>1318</v>
      </c>
      <c r="L30" s="31" t="s">
        <v>101</v>
      </c>
      <c r="M30" s="32" t="s">
        <v>55</v>
      </c>
      <c r="N30" s="32"/>
      <c r="O30" s="33" t="s">
        <v>97</v>
      </c>
      <c r="P30" s="33" t="s">
        <v>98</v>
      </c>
    </row>
    <row r="31" spans="1:16" ht="12.75" customHeight="1" thickBot="1">
      <c r="A31" s="17" t="str">
        <f t="shared" si="0"/>
        <v> AC 1162.6 </v>
      </c>
      <c r="B31" s="6" t="str">
        <f t="shared" si="1"/>
        <v>I</v>
      </c>
      <c r="C31" s="17">
        <f t="shared" si="2"/>
        <v>38447.055</v>
      </c>
      <c r="D31" s="22" t="str">
        <f t="shared" si="3"/>
        <v>vis</v>
      </c>
      <c r="E31" s="30">
        <f>VLOOKUP(C31,A!C$21:E$973,3,FALSE)</f>
        <v>1389.9940433347397</v>
      </c>
      <c r="F31" s="6" t="s">
        <v>53</v>
      </c>
      <c r="G31" s="22" t="str">
        <f t="shared" si="4"/>
        <v>38447.055</v>
      </c>
      <c r="H31" s="17">
        <f t="shared" si="5"/>
        <v>1390</v>
      </c>
      <c r="I31" s="31" t="s">
        <v>108</v>
      </c>
      <c r="J31" s="32" t="s">
        <v>109</v>
      </c>
      <c r="K31" s="31">
        <v>1390</v>
      </c>
      <c r="L31" s="31" t="s">
        <v>110</v>
      </c>
      <c r="M31" s="32" t="s">
        <v>55</v>
      </c>
      <c r="N31" s="32"/>
      <c r="O31" s="33" t="s">
        <v>97</v>
      </c>
      <c r="P31" s="33" t="s">
        <v>98</v>
      </c>
    </row>
    <row r="32" spans="1:16" ht="12.75" customHeight="1" thickBot="1">
      <c r="A32" s="17" t="str">
        <f t="shared" si="0"/>
        <v> AC 1162.6 </v>
      </c>
      <c r="B32" s="6" t="str">
        <f t="shared" si="1"/>
        <v>I</v>
      </c>
      <c r="C32" s="17">
        <f t="shared" si="2"/>
        <v>40086.079</v>
      </c>
      <c r="D32" s="22" t="str">
        <f t="shared" si="3"/>
        <v>vis</v>
      </c>
      <c r="E32" s="30">
        <f>VLOOKUP(C32,A!C$21:E$973,3,FALSE)</f>
        <v>1615.992129480253</v>
      </c>
      <c r="F32" s="6" t="s">
        <v>53</v>
      </c>
      <c r="G32" s="22" t="str">
        <f t="shared" si="4"/>
        <v>40086.079</v>
      </c>
      <c r="H32" s="17">
        <f t="shared" si="5"/>
        <v>1616</v>
      </c>
      <c r="I32" s="31" t="s">
        <v>111</v>
      </c>
      <c r="J32" s="32" t="s">
        <v>112</v>
      </c>
      <c r="K32" s="31">
        <v>1616</v>
      </c>
      <c r="L32" s="31" t="s">
        <v>113</v>
      </c>
      <c r="M32" s="32" t="s">
        <v>55</v>
      </c>
      <c r="N32" s="32"/>
      <c r="O32" s="33" t="s">
        <v>97</v>
      </c>
      <c r="P32" s="33" t="s">
        <v>98</v>
      </c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</sheetData>
  <sheetProtection/>
  <hyperlinks>
    <hyperlink ref="P11" r:id="rId1" display="http://www.konkoly.hu/cgi-bin/IBVS?35"/>
    <hyperlink ref="P17" r:id="rId2" display="http://www.konkoly.hu/cgi-bin/IBVS?52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