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085" windowHeight="136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<sst xmlns="http://schemas.openxmlformats.org/spreadsheetml/2006/main" count="62" uniqueCount="52">
  <si>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VSB 060</t>
  </si>
  <si>
    <t>PE</t>
  </si>
  <si>
    <t>II</t>
  </si>
  <si>
    <t>CCD</t>
  </si>
  <si>
    <t>pg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</si>
  <si>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</si>
  <si>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</si>
  <si>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</si>
  <si>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</si>
  <si>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</si>
  <si>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</si>
  <si>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</si>
  <si>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</si>
  <si>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</si>
  <si>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</si>
  <si>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</si>
  <si>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</si>
  <si>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</si>
  <si>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</si>
  <si>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</si>
  <si>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</si>
  <si>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</si>
  <si>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</si>
  <si>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</si>
  <si>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</si>
  <si>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</si>
  <si>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</si>
  <si>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</si>
  <si>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</si>
  <si>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</si>
  <si>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</si>
  <si>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</si>
  <si>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</si>
  <si>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</si>
  <si>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</si>
  <si>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</si>
  <si>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</si>
  <si>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</si>
  <si>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</si>
  <si>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</si>
  <si>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</si>
  <si>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BU Eri / GSC 5887-0336               </t>
  </si>
  <si>
    <t xml:space="preserve">EA        </t>
  </si>
  <si>
    <t>IBVS 5843</t>
  </si>
  <si>
    <t>Add cycle</t>
  </si>
  <si>
    <t>Old Cycle</t>
  </si>
  <si>
    <t>OEJV 0142</t>
  </si>
  <si>
    <t>vis</t>
  </si>
  <si>
    <t>VSB_061</t>
  </si>
  <si>
    <t>Ic</t>
  </si>
  <si>
    <t>VSB-64</t>
  </si>
  <si>
    <t>BAD?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</si>
</sst>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 applyAlignment="1">
      <alignment horizontal="left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172" fontId="33" fillId="0" borderId="0" xfId="0" applyNumberFormat="1" applyFont="1" applyFill="1" applyBorder="1" applyAlignment="1" applyProtection="1">
      <alignment horizontal="left" vertical="top"/>
      <protection/>
    </xf>
    <xf numFmtId="0" fontId="3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 Eri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A!$D$21:$D$218</c:f>
                <c:numCache>
                  <c:ptCount val="19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</c:numCache>
              </c:numRef>
            </c:plus>
            <c:minus>
              <c:numRef>
                <c:f>A!$D$21:$D$218</c:f>
                <c:numCache>
                  <c:ptCount val="19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A!$H$21:$H$978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A!$I$21:$I$978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A!$J$21:$J$978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A!$K$21:$K$978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A!$L$21:$L$978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A!$M$21:$M$978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NaN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0.005</c:v>
                  </c:pt>
                  <c:pt idx="5">
                    <c:v>NaN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A!$N$21:$N$978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A!$F$21:$F$978</c:f>
              <c:numCache/>
            </c:numRef>
          </c:xVal>
          <c:yVal>
            <c:numRef>
              <c:f>A!$O$21:$O$978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CC9CCC"/>
                </a:solidFill>
              </a:ln>
            </c:spPr>
          </c:marker>
          <c:xVal>
            <c:numRef>
              <c:f>A!$F$21:$F$49</c:f>
              <c:numCache/>
            </c:numRef>
          </c:xVal>
          <c:yVal>
            <c:numRef>
              <c:f>A!$U$21:$U$49</c:f>
              <c:numCache/>
            </c:numRef>
          </c:yVal>
          <c:smooth val="0"/>
        </c:ser>
        <c:axId val="62563638"/>
        <c:axId val="26201831"/>
      </c:scatterChart>
      <c:valAx>
        <c:axId val="6256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01831"/>
        <c:crosses val="autoZero"/>
        <c:crossBetween val="midCat"/>
        <c:dispUnits/>
      </c:valAx>
      <c:valAx>
        <c:axId val="2620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36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922"/>
          <c:w val="0.806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47625</xdr:rowOff>
    </xdr:from>
    <xdr:to>
      <xdr:col>17</xdr:col>
      <xdr:colOff>161925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4495800" y="47625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1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52500.5154</v>
      </c>
      <c r="G1" s="3">
        <v>0.8430901</v>
      </c>
      <c r="H1" s="3" t="s">
        <v>42</v>
      </c>
    </row>
    <row r="2" spans="1:4" ht="12.75">
      <c r="A2" t="s">
        <v>27</v>
      </c>
      <c r="B2" t="s">
        <v>42</v>
      </c>
      <c r="C2" s="3"/>
      <c r="D2" s="3"/>
    </row>
    <row r="3" ht="13.5" thickBot="1"/>
    <row r="4" spans="1:4" ht="14.25" thickBot="1" thickTop="1">
      <c r="A4" s="5" t="s">
        <v>40</v>
      </c>
      <c r="C4" s="8">
        <v>52500.5154</v>
      </c>
      <c r="D4" s="9">
        <v>0.8430901</v>
      </c>
    </row>
    <row r="5" spans="1:4" ht="13.5" thickTop="1">
      <c r="A5" s="11" t="s">
        <v>32</v>
      </c>
      <c r="B5" s="12"/>
      <c r="C5" s="13">
        <v>-9.5</v>
      </c>
      <c r="D5" s="12" t="s">
        <v>33</v>
      </c>
    </row>
    <row r="6" ht="12.75">
      <c r="A6" s="5" t="s">
        <v>5</v>
      </c>
    </row>
    <row r="7" spans="1:3" ht="12.75">
      <c r="A7" t="s">
        <v>6</v>
      </c>
      <c r="C7">
        <f>C4</f>
        <v>52500.5154</v>
      </c>
    </row>
    <row r="8" spans="1:4" ht="12.75">
      <c r="A8" t="s">
        <v>7</v>
      </c>
      <c r="C8">
        <f>D4</f>
        <v>0.8430901</v>
      </c>
      <c r="D8" s="29"/>
    </row>
    <row r="9" spans="1:4" ht="12.75">
      <c r="A9" s="26" t="s">
        <v>37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23</v>
      </c>
      <c r="D10" s="4" t="s">
        <v>24</v>
      </c>
      <c r="E10" s="12"/>
    </row>
    <row r="11" spans="1:5" ht="12.75">
      <c r="A11" s="12" t="s">
        <v>19</v>
      </c>
      <c r="B11" s="12"/>
      <c r="C11" s="23">
        <f ca="1">INTERCEPT(INDIRECT($D$9):G988,INDIRECT($C$9):F988)</f>
        <v>0.00010856887498579592</v>
      </c>
      <c r="D11" s="3"/>
      <c r="E11" s="12"/>
    </row>
    <row r="12" spans="1:5" ht="12.75">
      <c r="A12" s="12" t="s">
        <v>20</v>
      </c>
      <c r="B12" s="12"/>
      <c r="C12" s="23">
        <f ca="1">SLOPE(INDIRECT($D$9):G988,INDIRECT($C$9):F988)</f>
        <v>-8.785868546989926E-07</v>
      </c>
      <c r="D12" s="3"/>
      <c r="E12" s="12"/>
    </row>
    <row r="13" spans="1:3" ht="12.75">
      <c r="A13" s="12" t="s">
        <v>22</v>
      </c>
      <c r="B13" s="12"/>
      <c r="C13" s="3" t="s">
        <v>17</v>
      </c>
    </row>
    <row r="14" spans="1:3" ht="12.75">
      <c r="A14" s="12"/>
      <c r="B14" s="12"/>
      <c r="C14" s="12"/>
    </row>
    <row r="15" spans="1:6" ht="12.75">
      <c r="A15" s="14" t="s">
        <v>21</v>
      </c>
      <c r="B15" s="12"/>
      <c r="C15" s="15">
        <f>(C7+C11)+(C8+C12)*INT(MAX(F21:F3529))</f>
        <v>57755.49062563701</v>
      </c>
      <c r="E15" s="16" t="s">
        <v>44</v>
      </c>
      <c r="F15" s="13">
        <v>1</v>
      </c>
    </row>
    <row r="16" spans="1:6" ht="12.75">
      <c r="A16" s="18" t="s">
        <v>8</v>
      </c>
      <c r="B16" s="12"/>
      <c r="C16" s="19">
        <f>+C8+C12</f>
        <v>0.8430892214131452</v>
      </c>
      <c r="E16" s="16" t="s">
        <v>34</v>
      </c>
      <c r="F16" s="17">
        <f ca="1">NOW()+15018.5+$C$5/24</f>
        <v>59899.80521493055</v>
      </c>
    </row>
    <row r="17" spans="1:6" ht="13.5" thickBot="1">
      <c r="A17" s="16" t="s">
        <v>31</v>
      </c>
      <c r="B17" s="12"/>
      <c r="C17" s="12">
        <f>COUNT(C21:C2187)</f>
        <v>8</v>
      </c>
      <c r="E17" s="16" t="s">
        <v>45</v>
      </c>
      <c r="F17" s="17">
        <f>ROUND(2*(F16-$C$7)/$C$8,0)/2+F15</f>
        <v>8777.5</v>
      </c>
    </row>
    <row r="18" spans="1:6" ht="14.25" thickBot="1" thickTop="1">
      <c r="A18" s="18" t="s">
        <v>9</v>
      </c>
      <c r="B18" s="12"/>
      <c r="C18" s="21">
        <f>+C15</f>
        <v>57755.49062563701</v>
      </c>
      <c r="D18" s="22">
        <f>+C16</f>
        <v>0.8430892214131452</v>
      </c>
      <c r="E18" s="16" t="s">
        <v>35</v>
      </c>
      <c r="F18" s="25">
        <f>ROUND(2*(F16-$C$15)/$C$16,0)/2+F15</f>
        <v>2544.5</v>
      </c>
    </row>
    <row r="19" spans="5:6" ht="13.5" thickTop="1">
      <c r="E19" s="16" t="s">
        <v>36</v>
      </c>
      <c r="F19" s="20">
        <f>+$C$15+$C$16*F18-15018.5-$C$5/24</f>
        <v>44882.62698285609</v>
      </c>
    </row>
    <row r="20" spans="1:21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4</v>
      </c>
      <c r="I20" s="7" t="s">
        <v>47</v>
      </c>
      <c r="J20" s="7" t="s">
        <v>1</v>
      </c>
      <c r="K20" s="7" t="s">
        <v>3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42" t="s">
        <v>51</v>
      </c>
    </row>
    <row r="21" spans="1:17" ht="12.75">
      <c r="A21" s="31" t="s">
        <v>39</v>
      </c>
      <c r="B21" s="30" t="s">
        <v>38</v>
      </c>
      <c r="C21" s="31">
        <v>52500.5154</v>
      </c>
      <c r="D21" s="28"/>
      <c r="E21">
        <f aca="true" t="shared" si="0" ref="E21:E28">+(C21-C$7)/C$8</f>
        <v>0</v>
      </c>
      <c r="F21">
        <f aca="true" t="shared" si="1" ref="F21:F28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8">+C$11+C$12*$F21</f>
        <v>0.00010856887498579592</v>
      </c>
      <c r="Q21" s="2">
        <f aca="true" t="shared" si="4" ref="Q21:Q28">+C21-15018.5</f>
        <v>37482.0154</v>
      </c>
    </row>
    <row r="22" spans="1:17" ht="12.75">
      <c r="A22" s="34" t="s">
        <v>43</v>
      </c>
      <c r="B22" s="30" t="s">
        <v>38</v>
      </c>
      <c r="C22" s="31">
        <v>54046.7405</v>
      </c>
      <c r="D22" s="31">
        <v>0.0003</v>
      </c>
      <c r="E22">
        <f t="shared" si="0"/>
        <v>1833.9974576857246</v>
      </c>
      <c r="F22">
        <f t="shared" si="1"/>
        <v>1834</v>
      </c>
      <c r="G22">
        <f t="shared" si="2"/>
        <v>-0.002143399993656203</v>
      </c>
      <c r="K22">
        <f>+G22</f>
        <v>-0.002143399993656203</v>
      </c>
      <c r="O22">
        <f t="shared" si="3"/>
        <v>-0.0015027594165321564</v>
      </c>
      <c r="Q22" s="2">
        <f t="shared" si="4"/>
        <v>39028.2405</v>
      </c>
    </row>
    <row r="23" spans="1:17" ht="12.75">
      <c r="A23" s="34" t="s">
        <v>43</v>
      </c>
      <c r="B23" s="30" t="s">
        <v>38</v>
      </c>
      <c r="C23" s="31">
        <v>54052.6431</v>
      </c>
      <c r="D23" s="31">
        <v>0.0003</v>
      </c>
      <c r="E23">
        <f t="shared" si="0"/>
        <v>1840.9986073849102</v>
      </c>
      <c r="F23">
        <f t="shared" si="1"/>
        <v>1841</v>
      </c>
      <c r="G23">
        <f t="shared" si="2"/>
        <v>-0.001174099998024758</v>
      </c>
      <c r="K23">
        <f>+G23</f>
        <v>-0.001174099998024758</v>
      </c>
      <c r="O23">
        <f t="shared" si="3"/>
        <v>-0.0015089095245150494</v>
      </c>
      <c r="Q23" s="2">
        <f t="shared" si="4"/>
        <v>39034.1431</v>
      </c>
    </row>
    <row r="24" spans="1:17" ht="12.75">
      <c r="A24" s="34" t="s">
        <v>43</v>
      </c>
      <c r="B24" s="30" t="s">
        <v>38</v>
      </c>
      <c r="C24" s="31">
        <v>54063.6037</v>
      </c>
      <c r="D24" s="31">
        <v>0.0005</v>
      </c>
      <c r="E24">
        <f t="shared" si="0"/>
        <v>1853.9991158714865</v>
      </c>
      <c r="F24">
        <f t="shared" si="1"/>
        <v>1854</v>
      </c>
      <c r="G24">
        <f t="shared" si="2"/>
        <v>-0.0007453999933204614</v>
      </c>
      <c r="K24">
        <f>+G24</f>
        <v>-0.0007453999933204614</v>
      </c>
      <c r="O24">
        <f t="shared" si="3"/>
        <v>-0.0015203311536261363</v>
      </c>
      <c r="Q24" s="2">
        <f t="shared" si="4"/>
        <v>39045.1037</v>
      </c>
    </row>
    <row r="25" spans="1:17" ht="12.75">
      <c r="A25" s="32" t="s">
        <v>46</v>
      </c>
      <c r="B25" s="33" t="s">
        <v>38</v>
      </c>
      <c r="C25" s="32">
        <v>55885.518</v>
      </c>
      <c r="D25" s="32">
        <v>0.005</v>
      </c>
      <c r="E25">
        <f t="shared" si="0"/>
        <v>4014.9950758525097</v>
      </c>
      <c r="F25">
        <f t="shared" si="1"/>
        <v>4015</v>
      </c>
      <c r="G25">
        <f t="shared" si="2"/>
        <v>-0.004151499997533392</v>
      </c>
      <c r="I25">
        <f>+G25</f>
        <v>-0.004151499997533392</v>
      </c>
      <c r="O25">
        <f t="shared" si="3"/>
        <v>-0.0034189573466306593</v>
      </c>
      <c r="Q25" s="2">
        <f t="shared" si="4"/>
        <v>40867.018</v>
      </c>
    </row>
    <row r="26" spans="1:17" ht="12.75">
      <c r="A26" s="35" t="s">
        <v>48</v>
      </c>
      <c r="B26" s="36" t="s">
        <v>2</v>
      </c>
      <c r="C26" s="37">
        <v>57357.97459999984</v>
      </c>
      <c r="D26" s="37"/>
      <c r="E26">
        <f t="shared" si="0"/>
        <v>5761.494767878125</v>
      </c>
      <c r="F26">
        <f t="shared" si="1"/>
        <v>5761.5</v>
      </c>
      <c r="G26">
        <f t="shared" si="2"/>
        <v>-0.004411150155647192</v>
      </c>
      <c r="K26">
        <f>+G26</f>
        <v>-0.004411150155647192</v>
      </c>
      <c r="O26">
        <f t="shared" si="3"/>
        <v>-0.004953409288362449</v>
      </c>
      <c r="Q26" s="2">
        <f t="shared" si="4"/>
        <v>42339.47459999984</v>
      </c>
    </row>
    <row r="27" spans="1:21" ht="12.75">
      <c r="A27" s="37" t="s">
        <v>0</v>
      </c>
      <c r="B27" s="36" t="s">
        <v>38</v>
      </c>
      <c r="C27" s="37">
        <v>57365.9919</v>
      </c>
      <c r="D27" s="37" t="s">
        <v>49</v>
      </c>
      <c r="E27">
        <f t="shared" si="0"/>
        <v>5771.004190418088</v>
      </c>
      <c r="F27">
        <f t="shared" si="1"/>
        <v>5771</v>
      </c>
      <c r="O27">
        <f t="shared" si="3"/>
        <v>-0.00496175586348209</v>
      </c>
      <c r="Q27" s="2">
        <f t="shared" si="4"/>
        <v>42347.4919</v>
      </c>
      <c r="U27">
        <f>+C27-(C$7+F27*C$8)</f>
        <v>0.0035329000020283274</v>
      </c>
    </row>
    <row r="28" spans="1:17" ht="12.75">
      <c r="A28" s="38" t="s">
        <v>50</v>
      </c>
      <c r="B28" s="39" t="s">
        <v>2</v>
      </c>
      <c r="C28" s="40">
        <v>57755.912</v>
      </c>
      <c r="D28" s="41" t="s">
        <v>49</v>
      </c>
      <c r="E28">
        <f t="shared" si="0"/>
        <v>6233.493430891906</v>
      </c>
      <c r="F28">
        <f t="shared" si="1"/>
        <v>6233.5</v>
      </c>
      <c r="G28">
        <f>+C28-(C$7+F28*C$8)</f>
        <v>-0.005538350000279024</v>
      </c>
      <c r="K28">
        <f>+G28</f>
        <v>-0.005538350000279024</v>
      </c>
      <c r="O28">
        <f t="shared" si="3"/>
        <v>-0.005368102283780374</v>
      </c>
      <c r="Q28" s="2">
        <f t="shared" si="4"/>
        <v>42737.412</v>
      </c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</sheetData>
  <sheetProtection/>
  <hyperlinks>
    <hyperlink ref="H493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