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9720" windowHeight="145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<sst xmlns="http://schemas.openxmlformats.org/spreadsheetml/2006/main" count="56" uniqueCount="51">
  <si>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I</t>
  </si>
  <si>
    <t>II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</si>
  <si>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</si>
  <si>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</si>
  <si>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</si>
  <si>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</si>
  <si>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</si>
  <si>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</si>
  <si>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</si>
  <si>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</si>
  <si>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</si>
  <si>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</si>
  <si>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</si>
  <si>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</si>
  <si>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</si>
  <si>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</si>
  <si>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</si>
  <si>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</si>
  <si>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</si>
  <si>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</si>
  <si>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</si>
  <si>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</si>
  <si>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</si>
  <si>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</si>
  <si>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</si>
  <si>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</si>
  <si>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</si>
  <si>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</si>
  <si>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</si>
  <si>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</si>
  <si>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</si>
  <si>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</si>
  <si>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</si>
  <si>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</si>
  <si>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</si>
  <si>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</si>
  <si>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</si>
  <si>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</si>
  <si>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pg</t>
  </si>
  <si>
    <t>vis</t>
  </si>
  <si>
    <t>PE</t>
  </si>
  <si>
    <t>CCD</t>
  </si>
  <si>
    <t>BAD?</t>
  </si>
  <si>
    <t>KW Eri</t>
  </si>
  <si>
    <t>G8051-0142</t>
  </si>
  <si>
    <t>EW</t>
  </si>
  <si>
    <t>pr_0</t>
  </si>
  <si>
    <t>~</t>
  </si>
  <si>
    <t>KW Eri / GSC 8051-0142</t>
  </si>
  <si>
    <t>GCVS</t>
  </si>
  <si>
    <t>OEJV 0179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</si>
</sst>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NumberFormat="1" applyFont="1" applyBorder="1" applyAlignment="1">
      <alignment horizontal="left" vertical="center"/>
    </xf>
    <xf numFmtId="0" fontId="0" fillId="22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24" borderId="5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4" fillId="24" borderId="5" xfId="0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0" fillId="0" borderId="5" xfId="0" applyBorder="1" applyAlignment="1" quotePrefix="1">
      <alignment vertical="top"/>
    </xf>
    <xf numFmtId="0" fontId="14" fillId="0" borderId="0" xfId="61" applyFont="1">
      <alignment/>
      <protection/>
    </xf>
    <xf numFmtId="0" fontId="14" fillId="0" borderId="0" xfId="61" applyFont="1" applyAlignment="1">
      <alignment horizontal="center"/>
      <protection/>
    </xf>
    <xf numFmtId="0" fontId="14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KW Eri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33991277"/>
        <c:axId val="37486038"/>
      </c:scatterChart>
      <c:valAx>
        <c:axId val="33991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86038"/>
        <c:crosses val="autoZero"/>
        <c:crossBetween val="midCat"/>
        <c:dispUnits/>
      </c:valAx>
      <c:valAx>
        <c:axId val="37486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9127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33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48</v>
      </c>
      <c r="F1" s="38" t="s">
        <v>43</v>
      </c>
      <c r="G1" s="30">
        <v>0</v>
      </c>
      <c r="H1" s="39"/>
      <c r="I1" s="40" t="s">
        <v>44</v>
      </c>
      <c r="J1" s="41" t="s">
        <v>43</v>
      </c>
      <c r="K1" s="42">
        <v>2.541351</v>
      </c>
      <c r="L1" s="32">
        <v>-47.06503</v>
      </c>
      <c r="M1" s="33">
        <v>53639.744</v>
      </c>
      <c r="N1" s="33">
        <v>0.2352922</v>
      </c>
      <c r="O1" s="31" t="s">
        <v>45</v>
      </c>
      <c r="P1" s="43">
        <v>13.4</v>
      </c>
      <c r="Q1" s="43">
        <v>14.1</v>
      </c>
      <c r="R1" s="44" t="s">
        <v>46</v>
      </c>
      <c r="S1" s="45" t="s">
        <v>47</v>
      </c>
    </row>
    <row r="2" spans="1:4" ht="12.75">
      <c r="A2" t="s">
        <v>25</v>
      </c>
      <c r="B2" t="s">
        <v>45</v>
      </c>
      <c r="C2" s="29"/>
      <c r="D2" s="3"/>
    </row>
    <row r="3" spans="3:4" ht="13.5" thickBot="1">
      <c r="C3" s="36"/>
      <c r="D3" s="36"/>
    </row>
    <row r="4" spans="1:4" ht="14.25" thickBot="1" thickTop="1">
      <c r="A4" s="5" t="s">
        <v>2</v>
      </c>
      <c r="C4" s="26">
        <v>53639.744</v>
      </c>
      <c r="D4" s="27">
        <v>0.2352922</v>
      </c>
    </row>
    <row r="5" spans="1:5" ht="13.5" thickTop="1">
      <c r="A5" s="9" t="s">
        <v>30</v>
      </c>
      <c r="B5" s="10"/>
      <c r="C5" s="11">
        <v>-9.5</v>
      </c>
      <c r="D5" s="10" t="s">
        <v>31</v>
      </c>
      <c r="E5" s="10"/>
    </row>
    <row r="6" ht="12.75">
      <c r="A6" s="5" t="s">
        <v>3</v>
      </c>
    </row>
    <row r="7" spans="1:4" ht="12.75">
      <c r="A7" t="s">
        <v>4</v>
      </c>
      <c r="C7" s="8">
        <f>M1</f>
        <v>53639.744</v>
      </c>
      <c r="D7" s="28" t="s">
        <v>49</v>
      </c>
    </row>
    <row r="8" spans="1:4" ht="12.75">
      <c r="A8" t="s">
        <v>5</v>
      </c>
      <c r="C8" s="8">
        <f>N1</f>
        <v>0.2352922</v>
      </c>
      <c r="D8" s="28" t="str">
        <f>D7</f>
        <v>GCVS</v>
      </c>
    </row>
    <row r="9" spans="1:4" ht="12.75">
      <c r="A9" s="24" t="s">
        <v>34</v>
      </c>
      <c r="B9" s="37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21</v>
      </c>
      <c r="D10" s="4" t="s">
        <v>22</v>
      </c>
      <c r="E10" s="10"/>
    </row>
    <row r="11" spans="1:5" ht="12.75">
      <c r="A11" s="10" t="s">
        <v>17</v>
      </c>
      <c r="B11" s="10"/>
      <c r="C11" s="21">
        <f ca="1">INTERCEPT(INDIRECT($D$9):G992,INDIRECT($C$9):F992)</f>
        <v>-1.3853426045207229E-09</v>
      </c>
      <c r="D11" s="3"/>
      <c r="E11" s="10"/>
    </row>
    <row r="12" spans="1:5" ht="12.75">
      <c r="A12" s="10" t="s">
        <v>18</v>
      </c>
      <c r="B12" s="10"/>
      <c r="C12" s="21">
        <f ca="1">SLOPE(INDIRECT($D$9):G992,INDIRECT($C$9):F992)</f>
        <v>-7.035642195123962E-07</v>
      </c>
      <c r="D12" s="3"/>
      <c r="E12" s="10"/>
    </row>
    <row r="13" spans="1:3" ht="12.75">
      <c r="A13" s="10" t="s">
        <v>20</v>
      </c>
      <c r="B13" s="10"/>
      <c r="C13" s="3" t="s">
        <v>15</v>
      </c>
    </row>
    <row r="14" spans="1:3" ht="12.75">
      <c r="A14" s="10"/>
      <c r="B14" s="10"/>
      <c r="C14" s="10"/>
    </row>
    <row r="15" spans="1:6" ht="12.75">
      <c r="A15" s="12" t="s">
        <v>19</v>
      </c>
      <c r="B15" s="10"/>
      <c r="C15" s="13">
        <f>(C7+C11)+(C8+C12)*INT(MAX(F21:F3533))</f>
        <v>57641.817062874805</v>
      </c>
      <c r="E15" s="14" t="s">
        <v>35</v>
      </c>
      <c r="F15" s="34">
        <v>1</v>
      </c>
    </row>
    <row r="16" spans="1:6" ht="12.75">
      <c r="A16" s="16" t="s">
        <v>6</v>
      </c>
      <c r="B16" s="10"/>
      <c r="C16" s="17">
        <f>+C8+C12</f>
        <v>0.23529149643578048</v>
      </c>
      <c r="E16" s="14" t="s">
        <v>32</v>
      </c>
      <c r="F16" s="35">
        <f ca="1">NOW()+15018.5+$C$5/24</f>
        <v>59899.81014398148</v>
      </c>
    </row>
    <row r="17" spans="1:6" ht="13.5" thickBot="1">
      <c r="A17" s="14" t="s">
        <v>29</v>
      </c>
      <c r="B17" s="10"/>
      <c r="C17" s="10">
        <f>COUNT(C21:C2191)</f>
        <v>3</v>
      </c>
      <c r="E17" s="14" t="s">
        <v>36</v>
      </c>
      <c r="F17" s="15">
        <f>ROUND(2*(F16-$C$7)/$C$8,0)/2+F15</f>
        <v>26606.5</v>
      </c>
    </row>
    <row r="18" spans="1:6" ht="14.25" thickBot="1" thickTop="1">
      <c r="A18" s="16" t="s">
        <v>7</v>
      </c>
      <c r="B18" s="10"/>
      <c r="C18" s="19">
        <f>+C15</f>
        <v>57641.817062874805</v>
      </c>
      <c r="D18" s="20">
        <f>+C16</f>
        <v>0.23529149643578048</v>
      </c>
      <c r="E18" s="14" t="s">
        <v>37</v>
      </c>
      <c r="F18" s="23">
        <f>ROUND(2*(F16-$C$15)/$C$16,0)/2+F15</f>
        <v>9597.5</v>
      </c>
    </row>
    <row r="19" spans="5:6" ht="13.5" thickTop="1">
      <c r="E19" s="14" t="s">
        <v>33</v>
      </c>
      <c r="F19" s="18">
        <f>+$C$15+$C$16*F18-15018.5-$C$5/24</f>
        <v>44881.92303325055</v>
      </c>
    </row>
    <row r="20" spans="1:21" ht="13.5" thickBot="1">
      <c r="A20" s="4" t="s">
        <v>8</v>
      </c>
      <c r="B20" s="4" t="s">
        <v>9</v>
      </c>
      <c r="C20" s="4" t="s">
        <v>10</v>
      </c>
      <c r="D20" s="4" t="s">
        <v>14</v>
      </c>
      <c r="E20" s="4" t="s">
        <v>11</v>
      </c>
      <c r="F20" s="4" t="s">
        <v>12</v>
      </c>
      <c r="G20" s="4" t="s">
        <v>13</v>
      </c>
      <c r="H20" s="7" t="s">
        <v>38</v>
      </c>
      <c r="I20" s="7" t="s">
        <v>39</v>
      </c>
      <c r="J20" s="7" t="s">
        <v>40</v>
      </c>
      <c r="K20" s="7" t="s">
        <v>41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  <c r="U20" s="25" t="s">
        <v>42</v>
      </c>
    </row>
    <row r="21" spans="1:17" ht="12.75">
      <c r="A21" t="s">
        <v>49</v>
      </c>
      <c r="C21" s="8">
        <v>53639.744</v>
      </c>
      <c r="D21" s="8" t="s">
        <v>15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-1.3853426045207229E-09</v>
      </c>
      <c r="Q21" s="2">
        <f>+C21-15018.5</f>
        <v>38621.244</v>
      </c>
    </row>
    <row r="22" spans="1:17" ht="12.75">
      <c r="A22" s="46" t="s">
        <v>50</v>
      </c>
      <c r="B22" s="47" t="s">
        <v>1</v>
      </c>
      <c r="C22" s="48">
        <v>57641.69937</v>
      </c>
      <c r="D22" s="48">
        <v>0.0002</v>
      </c>
      <c r="E22">
        <f>+(C22-C$7)/C$8</f>
        <v>17008.448941358885</v>
      </c>
      <c r="F22">
        <f>ROUND(2*E22,0)/2</f>
        <v>17008.5</v>
      </c>
      <c r="G22">
        <f>+C22-(C$7+F22*C$8)</f>
        <v>-0.012013699997623917</v>
      </c>
      <c r="K22">
        <f>+G22</f>
        <v>-0.012013699997623917</v>
      </c>
      <c r="O22">
        <f>+C$11+C$12*$F22</f>
        <v>-0.011966573412919195</v>
      </c>
      <c r="Q22" s="2">
        <f>+C22-15018.5</f>
        <v>42623.19937</v>
      </c>
    </row>
    <row r="23" spans="1:17" ht="12.75">
      <c r="A23" s="46" t="s">
        <v>50</v>
      </c>
      <c r="B23" s="47" t="s">
        <v>0</v>
      </c>
      <c r="C23" s="48">
        <v>57641.81711</v>
      </c>
      <c r="D23" s="48">
        <v>0.0001</v>
      </c>
      <c r="E23">
        <f>+(C23-C$7)/C$8</f>
        <v>17008.949340437146</v>
      </c>
      <c r="F23">
        <f>ROUND(2*E23,0)/2</f>
        <v>17009</v>
      </c>
      <c r="G23">
        <f>+C23-(C$7+F23*C$8)</f>
        <v>-0.011919799995666835</v>
      </c>
      <c r="K23">
        <f>+G23</f>
        <v>-0.011919799995666835</v>
      </c>
      <c r="O23">
        <f>+C$11+C$12*$F23</f>
        <v>-0.011966925195028951</v>
      </c>
      <c r="Q23" s="2">
        <f>+C23-15018.5</f>
        <v>42623.31711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H474" r:id="rId1" display="http://vsolj.cetus-net.org/bulletin.html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2022-11-16T06:26:36Z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