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520" windowHeight="138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<sst xmlns="http://schemas.openxmlformats.org/spreadsheetml/2006/main" count="441" uniqueCount="202">
  <si>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</si>
  <si>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</si>
  <si>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</si>
  <si>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</si>
  <si>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</si>
  <si>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</si>
  <si>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</si>
  <si>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</si>
  <si>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</si>
  <si>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</si>
  <si>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</si>
  <si>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</si>
  <si>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</si>
  <si>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</si>
  <si>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</si>
  <si>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</si>
  <si>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</si>
  <si>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</si>
  <si>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</si>
  <si>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</si>
  <si>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</si>
  <si>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</si>
  <si>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</si>
  <si>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</si>
  <si>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</si>
  <si>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</si>
  <si>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</si>
  <si>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</si>
  <si>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</si>
  <si>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</si>
  <si>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</si>
  <si>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</si>
  <si>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</si>
  <si>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</si>
  <si>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</si>
  <si>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</si>
  <si>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pg</t>
  </si>
  <si>
    <t>vis</t>
  </si>
  <si>
    <t>PE</t>
  </si>
  <si>
    <t>CCD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</si>
  <si>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</si>
  <si>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</si>
  <si>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</si>
  <si>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</si>
  <si>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</si>
  <si>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</si>
  <si>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</si>
  <si>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F </t>
  </si>
  <si>
    <t>RZ Eri</t>
  </si>
  <si>
    <t>EA/DS/RS</t>
  </si>
  <si>
    <t>pr_0</t>
  </si>
  <si>
    <t>RZ Eri / GSC 2530.4912</t>
  </si>
  <si>
    <t>GCVS 4</t>
  </si>
  <si>
    <t>BAD?</t>
  </si>
  <si>
    <t>2413013.0 </t>
  </si>
  <si>
    <t> 03.07.1894 12:00 </t>
  </si>
  <si>
    <t> 0.6 </t>
  </si>
  <si>
    <t>P </t>
  </si>
  <si>
    <t> J.C.Mackie </t>
  </si>
  <si>
    <t> HC 196 </t>
  </si>
  <si>
    <t>2417490.57 </t>
  </si>
  <si>
    <t> 07.10.1906 01:40 </t>
  </si>
  <si>
    <t> -0.01 </t>
  </si>
  <si>
    <t> Harvard Platten </t>
  </si>
  <si>
    <t> AA 7.86 </t>
  </si>
  <si>
    <t>2423500.397 </t>
  </si>
  <si>
    <t> 21.03.1923 21:31 </t>
  </si>
  <si>
    <t> -0.390 </t>
  </si>
  <si>
    <t>V </t>
  </si>
  <si>
    <t> J.Gadomski </t>
  </si>
  <si>
    <t> CRAC 24 </t>
  </si>
  <si>
    <t>2423736.189 </t>
  </si>
  <si>
    <t> 12.11.1923 16:32 </t>
  </si>
  <si>
    <t> -0.292 </t>
  </si>
  <si>
    <t> J.Witkowski </t>
  </si>
  <si>
    <t>2423736.240 </t>
  </si>
  <si>
    <t> 12.11.1923 17:45 </t>
  </si>
  <si>
    <t> -0.241 </t>
  </si>
  <si>
    <t>2423775.57 </t>
  </si>
  <si>
    <t> 22.12.1923 01:40 </t>
  </si>
  <si>
    <t> -0.19 </t>
  </si>
  <si>
    <t> M.Beyer </t>
  </si>
  <si>
    <t> BZ 7.5 </t>
  </si>
  <si>
    <t>2423814.67 </t>
  </si>
  <si>
    <t> 30.01.1924 04:04 </t>
  </si>
  <si>
    <t> -0.38 </t>
  </si>
  <si>
    <t> Henz </t>
  </si>
  <si>
    <t>2423853.999 </t>
  </si>
  <si>
    <t> 09.03.1924 11:58 </t>
  </si>
  <si>
    <t> -0.329 </t>
  </si>
  <si>
    <t> K.Graff </t>
  </si>
  <si>
    <t>2423854.03 </t>
  </si>
  <si>
    <t> 09.03.1924 12:43 </t>
  </si>
  <si>
    <t> -0.30 </t>
  </si>
  <si>
    <t> A.E.Prichodko </t>
  </si>
  <si>
    <t> AC 195.16 </t>
  </si>
  <si>
    <t>2423854.101 </t>
  </si>
  <si>
    <t> 09.03.1924 14:25 </t>
  </si>
  <si>
    <t> -0.227 </t>
  </si>
  <si>
    <t>2423854.107 </t>
  </si>
  <si>
    <t> 09.03.1924 14:34 </t>
  </si>
  <si>
    <t> -0.221 </t>
  </si>
  <si>
    <t>2424600.631 </t>
  </si>
  <si>
    <t> 26.03.1926 03:08 </t>
  </si>
  <si>
    <t> -0.062 </t>
  </si>
  <si>
    <t> K.Kordylewski </t>
  </si>
  <si>
    <t>2424600.783 </t>
  </si>
  <si>
    <t> 26.03.1926 06:47 </t>
  </si>
  <si>
    <t> 0.090 </t>
  </si>
  <si>
    <t>2424796.817 </t>
  </si>
  <si>
    <t> 08.10.1926 07:36 </t>
  </si>
  <si>
    <t> -0.288 </t>
  </si>
  <si>
    <t>2424796.939 </t>
  </si>
  <si>
    <t> 08.10.1926 10:32 </t>
  </si>
  <si>
    <t> -0.166 </t>
  </si>
  <si>
    <t>2424836.366 </t>
  </si>
  <si>
    <t> 16.11.1926 20:47 </t>
  </si>
  <si>
    <t> -0.022 </t>
  </si>
  <si>
    <t> AA 7.95 </t>
  </si>
  <si>
    <t>2424914.858 </t>
  </si>
  <si>
    <t> 03.02.1927 08:35 </t>
  </si>
  <si>
    <t> -0.095 </t>
  </si>
  <si>
    <t>2424954.244 </t>
  </si>
  <si>
    <t> 14.03.1927 17:51 </t>
  </si>
  <si>
    <t> 0.009 </t>
  </si>
  <si>
    <t> AN 234.91 </t>
  </si>
  <si>
    <t>2425503.594 </t>
  </si>
  <si>
    <t> 14.09.1928 02:15 </t>
  </si>
  <si>
    <t> -0.594 </t>
  </si>
  <si>
    <t> H.Pöhnitzsch </t>
  </si>
  <si>
    <t> MVS 132 </t>
  </si>
  <si>
    <t>2425543.507 </t>
  </si>
  <si>
    <t> 24.10.1928 00:10 </t>
  </si>
  <si>
    <t> 0.036 </t>
  </si>
  <si>
    <t> H.Rügemer </t>
  </si>
  <si>
    <t> AN 255.182 </t>
  </si>
  <si>
    <t>2425622.354 </t>
  </si>
  <si>
    <t> 10.01.1929 20:29 </t>
  </si>
  <si>
    <t> 0.319 </t>
  </si>
  <si>
    <t>2427153.345 </t>
  </si>
  <si>
    <t> 21.03.1933 20:16 </t>
  </si>
  <si>
    <t> -0.703 </t>
  </si>
  <si>
    <t>2427429.078 </t>
  </si>
  <si>
    <t> 22.12.1933 13:52 </t>
  </si>
  <si>
    <t> 0.053 </t>
  </si>
  <si>
    <t> AA 7.92 </t>
  </si>
  <si>
    <t>2428450.37 </t>
  </si>
  <si>
    <t> 08.10.1936 20:52 </t>
  </si>
  <si>
    <t> 0.00 </t>
  </si>
  <si>
    <t> Sonneberg.Platten </t>
  </si>
  <si>
    <t> AA 7.91 </t>
  </si>
  <si>
    <t>2429982.36 </t>
  </si>
  <si>
    <t> 18.12.1940 20:38 </t>
  </si>
  <si>
    <t> -0.02 </t>
  </si>
  <si>
    <t> WARC 22 </t>
  </si>
  <si>
    <t>2429982.37 </t>
  </si>
  <si>
    <t> 18.12.1940 20:52 </t>
  </si>
  <si>
    <t> S.Gaposchkin </t>
  </si>
  <si>
    <t> AJ 56.125 </t>
  </si>
  <si>
    <t>2430257.624 </t>
  </si>
  <si>
    <t> 20.09.1941 02:58 </t>
  </si>
  <si>
    <t> 0.268 </t>
  </si>
  <si>
    <t>2430375.325 </t>
  </si>
  <si>
    <t> 15.01.1942 19:48 </t>
  </si>
  <si>
    <t> 0.122 </t>
  </si>
  <si>
    <t>2430375.361 </t>
  </si>
  <si>
    <t> 15.01.1942 20:39 </t>
  </si>
  <si>
    <t> 0.158 </t>
  </si>
  <si>
    <t>2431003.531 </t>
  </si>
  <si>
    <t> 06.10.1943 00:44 </t>
  </si>
  <si>
    <t> -0.190 </t>
  </si>
  <si>
    <t>2431003.557 </t>
  </si>
  <si>
    <t> 06.10.1943 01:22 </t>
  </si>
  <si>
    <t> -0.164 </t>
  </si>
  <si>
    <t>2431710.613 </t>
  </si>
  <si>
    <t> 12.09.1945 02:42 </t>
  </si>
  <si>
    <t> -0.191 </t>
  </si>
  <si>
    <t>2432889.452 </t>
  </si>
  <si>
    <t> 03.12.1948 22:50 </t>
  </si>
  <si>
    <t> 0.176 </t>
  </si>
  <si>
    <t>2432889.482 </t>
  </si>
  <si>
    <t> 03.12.1948 23:34 </t>
  </si>
  <si>
    <t> 0.206 </t>
  </si>
  <si>
    <t>2432968.292 </t>
  </si>
  <si>
    <t> 20.02.1949 19:00 </t>
  </si>
  <si>
    <t> 0.452 </t>
  </si>
  <si>
    <t>2433164.603 </t>
  </si>
  <si>
    <t> 05.09.1949 02:28 </t>
  </si>
  <si>
    <t> 0.351 </t>
  </si>
  <si>
    <t>2443574.083 </t>
  </si>
  <si>
    <t> 06.03.1978 13:59 </t>
  </si>
  <si>
    <t> 0.000 </t>
  </si>
  <si>
    <t>E </t>
  </si>
  <si>
    <t>?</t>
  </si>
  <si>
    <t> Caton &amp; Oliver </t>
  </si>
  <si>
    <t>IBVS 1665 </t>
  </si>
  <si>
    <t>2451901.969 </t>
  </si>
  <si>
    <t> 23.12.2000 11:15 </t>
  </si>
  <si>
    <t> 0.021 </t>
  </si>
  <si>
    <t> R.Meyer </t>
  </si>
  <si>
    <t>BAVM 154 </t>
  </si>
  <si>
    <t>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</si>
</sst>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11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4" borderId="18" xfId="0" applyFont="1" applyFill="1" applyBorder="1" applyAlignment="1">
      <alignment horizontal="left" vertical="top" wrapText="1" inden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right" vertical="top" wrapText="1"/>
    </xf>
    <xf numFmtId="0" fontId="14" fillId="34" borderId="18" xfId="54" applyFill="1" applyBorder="1" applyAlignment="1" applyProtection="1">
      <alignment horizontal="right" vertical="top" wrapText="1"/>
      <protection/>
    </xf>
    <xf numFmtId="0" fontId="4" fillId="35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RZ Eri - O-C Diagr.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0025"/>
          <c:w val="0.92475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28689916"/>
        <c:axId val="56882653"/>
      </c:scatterChart>
      <c:valAx>
        <c:axId val="28689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82653"/>
        <c:crosses val="autoZero"/>
        <c:crossBetween val="midCat"/>
        <c:dispUnits/>
      </c:valAx>
      <c:valAx>
        <c:axId val="56882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8991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275"/>
          <c:y val="0.934"/>
          <c:w val="0.5572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20</xdr:col>
      <xdr:colOff>114300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43425" y="0"/>
        <a:ext cx="83058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LkDB/index.php?lang=en&amp;sprache_dial=en" TargetMode="External" /><Relationship Id="rId2" Type="http://schemas.openxmlformats.org/officeDocument/2006/relationships/hyperlink" Target="http://www.konkoly.hu/cgi-bin/IBVS?1665" TargetMode="External" /><Relationship Id="rId3" Type="http://schemas.openxmlformats.org/officeDocument/2006/relationships/hyperlink" Target="http://www.bav-astro.de/sfs/BAVM_link.php?BAVMnr=15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20" width="9.8515625" style="0" customWidth="1"/>
  </cols>
  <sheetData>
    <row r="1" spans="1:15" ht="20.25">
      <c r="A1" s="1" t="s">
        <v>51</v>
      </c>
      <c r="F1" s="52" t="s">
        <v>48</v>
      </c>
      <c r="G1" s="33">
        <v>4.43457</v>
      </c>
      <c r="H1" s="34">
        <v>-10.4052</v>
      </c>
      <c r="I1" s="35">
        <v>52530.4912</v>
      </c>
      <c r="J1" s="35">
        <v>39.282485</v>
      </c>
      <c r="K1" s="32" t="s">
        <v>49</v>
      </c>
      <c r="L1" s="31">
        <v>7.7</v>
      </c>
      <c r="M1" s="31">
        <v>8.7</v>
      </c>
      <c r="N1" s="53" t="s">
        <v>50</v>
      </c>
      <c r="O1" s="38" t="s">
        <v>49</v>
      </c>
    </row>
    <row r="2" spans="1:4" ht="12.75">
      <c r="A2" t="s">
        <v>23</v>
      </c>
      <c r="B2" t="s">
        <v>49</v>
      </c>
      <c r="C2" s="30"/>
      <c r="D2" s="3"/>
    </row>
    <row r="3" ht="13.5" thickBot="1"/>
    <row r="4" spans="1:4" ht="14.25" thickBot="1" thickTop="1">
      <c r="A4" s="5" t="s">
        <v>0</v>
      </c>
      <c r="C4" s="27">
        <v>43574.083</v>
      </c>
      <c r="D4" s="28">
        <v>39.28238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43574.083</v>
      </c>
      <c r="D7" s="29" t="s">
        <v>52</v>
      </c>
    </row>
    <row r="8" spans="1:4" ht="12.75">
      <c r="A8" t="s">
        <v>3</v>
      </c>
      <c r="C8" s="8">
        <v>39.28238</v>
      </c>
      <c r="D8" s="29" t="s">
        <v>52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0.042819755223345975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0.00024899602660061713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51902.04316691286</v>
      </c>
      <c r="E15" s="14" t="s">
        <v>33</v>
      </c>
      <c r="F15" s="36">
        <v>1</v>
      </c>
    </row>
    <row r="16" spans="1:6" ht="12.75">
      <c r="A16" s="16" t="s">
        <v>4</v>
      </c>
      <c r="B16" s="10"/>
      <c r="C16" s="17">
        <f>+C8+C12</f>
        <v>39.2826289960266</v>
      </c>
      <c r="E16" s="14" t="s">
        <v>30</v>
      </c>
      <c r="F16" s="37">
        <f ca="1">NOW()+15018.5+$C$5/24</f>
        <v>59899.81728310185</v>
      </c>
    </row>
    <row r="17" spans="1:6" ht="13.5" thickBot="1">
      <c r="A17" s="14" t="s">
        <v>27</v>
      </c>
      <c r="B17" s="10"/>
      <c r="C17" s="10">
        <f>COUNT(C21:C2191)</f>
        <v>38</v>
      </c>
      <c r="E17" s="14" t="s">
        <v>34</v>
      </c>
      <c r="F17" s="15">
        <f>ROUND(2*(F16-$C$7)/$C$8,0)/2+F15</f>
        <v>416.5</v>
      </c>
    </row>
    <row r="18" spans="1:6" ht="14.25" thickBot="1" thickTop="1">
      <c r="A18" s="16" t="s">
        <v>5</v>
      </c>
      <c r="B18" s="10"/>
      <c r="C18" s="19">
        <f>+C15</f>
        <v>51902.04316691286</v>
      </c>
      <c r="D18" s="20">
        <f>+C16</f>
        <v>39.2826289960266</v>
      </c>
      <c r="E18" s="14" t="s">
        <v>35</v>
      </c>
      <c r="F18" s="23">
        <f>ROUND(2*(F16-$C$15)/$C$16,0)/2+F15</f>
        <v>204.5</v>
      </c>
    </row>
    <row r="19" spans="5:6" ht="13.5" thickTop="1">
      <c r="E19" s="14" t="s">
        <v>31</v>
      </c>
      <c r="F19" s="18">
        <f>+$C$15+$C$16*F18-15018.5-$C$5/24</f>
        <v>44917.236629933635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36</v>
      </c>
      <c r="I20" s="7" t="s">
        <v>37</v>
      </c>
      <c r="J20" s="7" t="s">
        <v>38</v>
      </c>
      <c r="K20" s="7" t="s">
        <v>39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4"/>
      <c r="S20" s="4"/>
      <c r="T20" s="4"/>
      <c r="U20" s="26" t="s">
        <v>53</v>
      </c>
    </row>
    <row r="21" spans="1:20" ht="12.75">
      <c r="A21" t="s">
        <v>59</v>
      </c>
      <c r="B21" t="s">
        <v>201</v>
      </c>
      <c r="C21" s="8">
        <v>13013</v>
      </c>
      <c r="D21" s="8" t="s">
        <v>37</v>
      </c>
      <c r="E21">
        <f aca="true" t="shared" si="0" ref="E21:E58">+(C21-C$7)/C$8</f>
        <v>-777.984506030439</v>
      </c>
      <c r="F21">
        <f aca="true" t="shared" si="1" ref="F21:F58">ROUND(2*E21,0)/2</f>
        <v>-778</v>
      </c>
      <c r="G21">
        <f aca="true" t="shared" si="2" ref="G21:G58">+C21-(C$7+F21*C$8)</f>
        <v>0.6086400000021968</v>
      </c>
      <c r="H21">
        <f aca="true" t="shared" si="3" ref="H21:H56">+G21</f>
        <v>0.6086400000021968</v>
      </c>
      <c r="O21">
        <f aca="true" t="shared" si="4" ref="O21:O58">+C$11+C$12*$F21</f>
        <v>-0.15089915347193417</v>
      </c>
      <c r="Q21" s="2">
        <f aca="true" t="shared" si="5" ref="Q21:Q58">+C21-15018.5</f>
        <v>-2005.5</v>
      </c>
      <c r="R21" s="2"/>
      <c r="S21" s="2"/>
      <c r="T21" s="2"/>
    </row>
    <row r="22" spans="1:20" ht="12.75">
      <c r="A22" t="s">
        <v>64</v>
      </c>
      <c r="B22" t="s">
        <v>201</v>
      </c>
      <c r="C22" s="8">
        <v>17490.57</v>
      </c>
      <c r="D22" s="8" t="s">
        <v>37</v>
      </c>
      <c r="E22">
        <f t="shared" si="0"/>
        <v>-664.0003227910324</v>
      </c>
      <c r="F22">
        <f t="shared" si="1"/>
        <v>-664</v>
      </c>
      <c r="G22">
        <f t="shared" si="2"/>
        <v>-0.012679999996180413</v>
      </c>
      <c r="H22">
        <f t="shared" si="3"/>
        <v>-0.012679999996180413</v>
      </c>
      <c r="O22">
        <f t="shared" si="4"/>
        <v>-0.1225136064394638</v>
      </c>
      <c r="Q22" s="2">
        <f t="shared" si="5"/>
        <v>2472.0699999999997</v>
      </c>
      <c r="R22" s="2"/>
      <c r="S22" s="2"/>
      <c r="T22" s="2"/>
    </row>
    <row r="23" spans="1:20" ht="12.75">
      <c r="A23" t="s">
        <v>70</v>
      </c>
      <c r="B23" t="s">
        <v>201</v>
      </c>
      <c r="C23" s="8">
        <v>23500.397</v>
      </c>
      <c r="D23" s="8" t="s">
        <v>37</v>
      </c>
      <c r="E23">
        <f t="shared" si="0"/>
        <v>-511.0099235331463</v>
      </c>
      <c r="F23">
        <f t="shared" si="1"/>
        <v>-511</v>
      </c>
      <c r="G23">
        <f t="shared" si="2"/>
        <v>-0.38981999999668915</v>
      </c>
      <c r="H23">
        <f t="shared" si="3"/>
        <v>-0.38981999999668915</v>
      </c>
      <c r="O23">
        <f t="shared" si="4"/>
        <v>-0.0844172143695694</v>
      </c>
      <c r="Q23" s="2">
        <f t="shared" si="5"/>
        <v>8481.897</v>
      </c>
      <c r="R23" s="2"/>
      <c r="S23" s="2"/>
      <c r="T23" s="2"/>
    </row>
    <row r="24" spans="1:20" ht="12.75">
      <c r="A24" t="s">
        <v>70</v>
      </c>
      <c r="B24" t="s">
        <v>201</v>
      </c>
      <c r="C24" s="8">
        <v>23736.189</v>
      </c>
      <c r="D24" s="8" t="s">
        <v>37</v>
      </c>
      <c r="E24">
        <f t="shared" si="0"/>
        <v>-505.0074359038327</v>
      </c>
      <c r="F24">
        <f t="shared" si="1"/>
        <v>-505</v>
      </c>
      <c r="G24">
        <f t="shared" si="2"/>
        <v>-0.29209999999875436</v>
      </c>
      <c r="H24">
        <f t="shared" si="3"/>
        <v>-0.29209999999875436</v>
      </c>
      <c r="O24">
        <f t="shared" si="4"/>
        <v>-0.0829232382099657</v>
      </c>
      <c r="Q24" s="2">
        <f t="shared" si="5"/>
        <v>8717.688999999998</v>
      </c>
      <c r="R24" s="2"/>
      <c r="S24" s="2"/>
      <c r="T24" s="2"/>
    </row>
    <row r="25" spans="1:20" ht="12.75">
      <c r="A25" t="s">
        <v>70</v>
      </c>
      <c r="B25" t="s">
        <v>201</v>
      </c>
      <c r="C25" s="8">
        <v>23736.24</v>
      </c>
      <c r="D25" s="8" t="s">
        <v>37</v>
      </c>
      <c r="E25">
        <f t="shared" si="0"/>
        <v>-505.00613761182484</v>
      </c>
      <c r="F25">
        <f t="shared" si="1"/>
        <v>-505</v>
      </c>
      <c r="G25">
        <f t="shared" si="2"/>
        <v>-0.24109999999564025</v>
      </c>
      <c r="H25">
        <f t="shared" si="3"/>
        <v>-0.24109999999564025</v>
      </c>
      <c r="O25">
        <f t="shared" si="4"/>
        <v>-0.0829232382099657</v>
      </c>
      <c r="Q25" s="2">
        <f t="shared" si="5"/>
        <v>8717.740000000002</v>
      </c>
      <c r="R25" s="2"/>
      <c r="S25" s="2"/>
      <c r="T25" s="2"/>
    </row>
    <row r="26" spans="1:20" ht="12.75">
      <c r="A26" t="s">
        <v>82</v>
      </c>
      <c r="B26" t="s">
        <v>201</v>
      </c>
      <c r="C26" s="8">
        <v>23775.57</v>
      </c>
      <c r="D26" s="8" t="s">
        <v>37</v>
      </c>
      <c r="E26">
        <f t="shared" si="0"/>
        <v>-504.0049253634835</v>
      </c>
      <c r="F26">
        <f t="shared" si="1"/>
        <v>-504</v>
      </c>
      <c r="G26">
        <f t="shared" si="2"/>
        <v>-0.19347999999808962</v>
      </c>
      <c r="H26">
        <f t="shared" si="3"/>
        <v>-0.19347999999808962</v>
      </c>
      <c r="O26">
        <f t="shared" si="4"/>
        <v>-0.08267424218336505</v>
      </c>
      <c r="Q26" s="2">
        <f t="shared" si="5"/>
        <v>8757.07</v>
      </c>
      <c r="R26" s="2"/>
      <c r="S26" s="2"/>
      <c r="T26" s="2"/>
    </row>
    <row r="27" spans="1:20" ht="12.75">
      <c r="A27" t="s">
        <v>70</v>
      </c>
      <c r="B27" t="s">
        <v>201</v>
      </c>
      <c r="C27" s="8">
        <v>23814.67</v>
      </c>
      <c r="D27" s="8" t="s">
        <v>37</v>
      </c>
      <c r="E27">
        <f t="shared" si="0"/>
        <v>-503.0095681575301</v>
      </c>
      <c r="F27">
        <f t="shared" si="1"/>
        <v>-503</v>
      </c>
      <c r="G27">
        <f t="shared" si="2"/>
        <v>-0.37586000000010245</v>
      </c>
      <c r="H27">
        <f t="shared" si="3"/>
        <v>-0.37586000000010245</v>
      </c>
      <c r="O27">
        <f t="shared" si="4"/>
        <v>-0.08242524615676444</v>
      </c>
      <c r="Q27" s="2">
        <f t="shared" si="5"/>
        <v>8796.169999999998</v>
      </c>
      <c r="R27" s="2"/>
      <c r="S27" s="2"/>
      <c r="T27" s="2"/>
    </row>
    <row r="28" spans="1:20" ht="12.75">
      <c r="A28" t="s">
        <v>70</v>
      </c>
      <c r="B28" t="s">
        <v>201</v>
      </c>
      <c r="C28" s="8">
        <v>23853.999</v>
      </c>
      <c r="D28" s="8" t="s">
        <v>37</v>
      </c>
      <c r="E28">
        <f t="shared" si="0"/>
        <v>-502.00838136589476</v>
      </c>
      <c r="F28">
        <f t="shared" si="1"/>
        <v>-502</v>
      </c>
      <c r="G28">
        <f t="shared" si="2"/>
        <v>-0.3292399999954796</v>
      </c>
      <c r="H28">
        <f t="shared" si="3"/>
        <v>-0.3292399999954796</v>
      </c>
      <c r="O28">
        <f t="shared" si="4"/>
        <v>-0.08217625013016383</v>
      </c>
      <c r="Q28" s="2">
        <f t="shared" si="5"/>
        <v>8835.499</v>
      </c>
      <c r="R28" s="2"/>
      <c r="S28" s="2"/>
      <c r="T28" s="2"/>
    </row>
    <row r="29" spans="1:20" ht="12.75">
      <c r="A29" t="s">
        <v>95</v>
      </c>
      <c r="B29" t="s">
        <v>201</v>
      </c>
      <c r="C29" s="8">
        <v>23854.03</v>
      </c>
      <c r="D29" s="8" t="s">
        <v>37</v>
      </c>
      <c r="E29">
        <f t="shared" si="0"/>
        <v>-502.00759220800774</v>
      </c>
      <c r="F29">
        <f t="shared" si="1"/>
        <v>-502</v>
      </c>
      <c r="G29">
        <f t="shared" si="2"/>
        <v>-0.29823999999644</v>
      </c>
      <c r="H29">
        <f t="shared" si="3"/>
        <v>-0.29823999999644</v>
      </c>
      <c r="O29">
        <f t="shared" si="4"/>
        <v>-0.08217625013016383</v>
      </c>
      <c r="Q29" s="2">
        <f t="shared" si="5"/>
        <v>8835.529999999999</v>
      </c>
      <c r="R29" s="2"/>
      <c r="S29" s="2"/>
      <c r="T29" s="2"/>
    </row>
    <row r="30" spans="1:20" ht="12.75">
      <c r="A30" t="s">
        <v>70</v>
      </c>
      <c r="B30" t="s">
        <v>201</v>
      </c>
      <c r="C30" s="8">
        <v>23854.101</v>
      </c>
      <c r="D30" s="8" t="s">
        <v>37</v>
      </c>
      <c r="E30">
        <f t="shared" si="0"/>
        <v>-502.00578478187924</v>
      </c>
      <c r="F30">
        <f t="shared" si="1"/>
        <v>-502</v>
      </c>
      <c r="G30">
        <f t="shared" si="2"/>
        <v>-0.22723999999652733</v>
      </c>
      <c r="H30">
        <f t="shared" si="3"/>
        <v>-0.22723999999652733</v>
      </c>
      <c r="O30">
        <f t="shared" si="4"/>
        <v>-0.08217625013016383</v>
      </c>
      <c r="Q30" s="2">
        <f t="shared" si="5"/>
        <v>8835.600999999999</v>
      </c>
      <c r="R30" s="2"/>
      <c r="S30" s="2"/>
      <c r="T30" s="2"/>
    </row>
    <row r="31" spans="1:20" ht="12.75">
      <c r="A31" t="s">
        <v>70</v>
      </c>
      <c r="B31" t="s">
        <v>201</v>
      </c>
      <c r="C31" s="8">
        <v>23854.107</v>
      </c>
      <c r="D31" s="8" t="s">
        <v>37</v>
      </c>
      <c r="E31">
        <f t="shared" si="0"/>
        <v>-502.005632041643</v>
      </c>
      <c r="F31">
        <f t="shared" si="1"/>
        <v>-502</v>
      </c>
      <c r="G31">
        <f t="shared" si="2"/>
        <v>-0.22123999999530497</v>
      </c>
      <c r="H31">
        <f t="shared" si="3"/>
        <v>-0.22123999999530497</v>
      </c>
      <c r="O31">
        <f t="shared" si="4"/>
        <v>-0.08217625013016383</v>
      </c>
      <c r="Q31" s="2">
        <f t="shared" si="5"/>
        <v>8835.607</v>
      </c>
      <c r="R31" s="2"/>
      <c r="S31" s="2"/>
      <c r="T31" s="2"/>
    </row>
    <row r="32" spans="1:20" ht="12.75">
      <c r="A32" t="s">
        <v>70</v>
      </c>
      <c r="B32" t="s">
        <v>201</v>
      </c>
      <c r="C32" s="8">
        <v>24600.631</v>
      </c>
      <c r="D32" s="8" t="s">
        <v>37</v>
      </c>
      <c r="E32">
        <f t="shared" si="0"/>
        <v>-483.00159002585883</v>
      </c>
      <c r="F32">
        <f t="shared" si="1"/>
        <v>-483</v>
      </c>
      <c r="G32">
        <f t="shared" si="2"/>
        <v>-0.062459999997372506</v>
      </c>
      <c r="H32">
        <f t="shared" si="3"/>
        <v>-0.062459999997372506</v>
      </c>
      <c r="O32">
        <f t="shared" si="4"/>
        <v>-0.07744532562475209</v>
      </c>
      <c r="Q32" s="2">
        <f t="shared" si="5"/>
        <v>9582.131000000001</v>
      </c>
      <c r="R32" s="2"/>
      <c r="S32" s="2"/>
      <c r="T32" s="2"/>
    </row>
    <row r="33" spans="1:17" ht="12.75">
      <c r="A33" t="s">
        <v>70</v>
      </c>
      <c r="B33" t="s">
        <v>201</v>
      </c>
      <c r="C33" s="8">
        <v>24600.783</v>
      </c>
      <c r="D33" s="8" t="s">
        <v>37</v>
      </c>
      <c r="E33">
        <f t="shared" si="0"/>
        <v>-482.9977206065416</v>
      </c>
      <c r="F33">
        <f t="shared" si="1"/>
        <v>-483</v>
      </c>
      <c r="G33">
        <f t="shared" si="2"/>
        <v>0.08954000000085216</v>
      </c>
      <c r="H33">
        <f t="shared" si="3"/>
        <v>0.08954000000085216</v>
      </c>
      <c r="O33">
        <f t="shared" si="4"/>
        <v>-0.07744532562475209</v>
      </c>
      <c r="Q33" s="2">
        <f t="shared" si="5"/>
        <v>9582.283</v>
      </c>
    </row>
    <row r="34" spans="1:17" ht="12.75">
      <c r="A34" t="s">
        <v>70</v>
      </c>
      <c r="B34" t="s">
        <v>201</v>
      </c>
      <c r="C34" s="8">
        <v>24796.817</v>
      </c>
      <c r="D34" s="8" t="s">
        <v>37</v>
      </c>
      <c r="E34">
        <f t="shared" si="0"/>
        <v>-478.0073406957521</v>
      </c>
      <c r="F34">
        <f t="shared" si="1"/>
        <v>-478</v>
      </c>
      <c r="G34">
        <f t="shared" si="2"/>
        <v>-0.28835999999864725</v>
      </c>
      <c r="H34">
        <f t="shared" si="3"/>
        <v>-0.28835999999864725</v>
      </c>
      <c r="O34">
        <f t="shared" si="4"/>
        <v>-0.076200345491749</v>
      </c>
      <c r="Q34" s="2">
        <f t="shared" si="5"/>
        <v>9778.317</v>
      </c>
    </row>
    <row r="35" spans="1:17" ht="12.75">
      <c r="A35" t="s">
        <v>70</v>
      </c>
      <c r="B35" t="s">
        <v>201</v>
      </c>
      <c r="C35" s="8">
        <v>24796.939</v>
      </c>
      <c r="D35" s="8" t="s">
        <v>37</v>
      </c>
      <c r="E35">
        <f t="shared" si="0"/>
        <v>-478.0042349776159</v>
      </c>
      <c r="F35">
        <f t="shared" si="1"/>
        <v>-478</v>
      </c>
      <c r="G35">
        <f t="shared" si="2"/>
        <v>-0.16635999999925843</v>
      </c>
      <c r="H35">
        <f t="shared" si="3"/>
        <v>-0.16635999999925843</v>
      </c>
      <c r="O35">
        <f t="shared" si="4"/>
        <v>-0.076200345491749</v>
      </c>
      <c r="Q35" s="2">
        <f t="shared" si="5"/>
        <v>9778.438999999998</v>
      </c>
    </row>
    <row r="36" spans="1:17" ht="12.75">
      <c r="A36" t="s">
        <v>118</v>
      </c>
      <c r="B36" t="s">
        <v>201</v>
      </c>
      <c r="C36" s="8">
        <v>24836.366</v>
      </c>
      <c r="D36" s="8" t="s">
        <v>37</v>
      </c>
      <c r="E36">
        <f t="shared" si="0"/>
        <v>-477.0005534287891</v>
      </c>
      <c r="F36">
        <f t="shared" si="1"/>
        <v>-477</v>
      </c>
      <c r="G36">
        <f t="shared" si="2"/>
        <v>-0.021739999996498227</v>
      </c>
      <c r="H36">
        <f t="shared" si="3"/>
        <v>-0.021739999996498227</v>
      </c>
      <c r="O36">
        <f t="shared" si="4"/>
        <v>-0.0759513494651484</v>
      </c>
      <c r="Q36" s="2">
        <f t="shared" si="5"/>
        <v>9817.866000000002</v>
      </c>
    </row>
    <row r="37" spans="1:17" ht="12.75">
      <c r="A37" t="s">
        <v>70</v>
      </c>
      <c r="B37" t="s">
        <v>201</v>
      </c>
      <c r="C37" s="8">
        <v>24914.858</v>
      </c>
      <c r="D37" s="8" t="s">
        <v>37</v>
      </c>
      <c r="E37">
        <f t="shared" si="0"/>
        <v>-475.0024056587202</v>
      </c>
      <c r="F37">
        <f t="shared" si="1"/>
        <v>-475</v>
      </c>
      <c r="G37">
        <f t="shared" si="2"/>
        <v>-0.09449999999560532</v>
      </c>
      <c r="H37">
        <f t="shared" si="3"/>
        <v>-0.09449999999560532</v>
      </c>
      <c r="O37">
        <f t="shared" si="4"/>
        <v>-0.07545335741194717</v>
      </c>
      <c r="Q37" s="2">
        <f t="shared" si="5"/>
        <v>9896.358</v>
      </c>
    </row>
    <row r="38" spans="1:17" ht="12.75">
      <c r="A38" t="s">
        <v>125</v>
      </c>
      <c r="B38" t="s">
        <v>201</v>
      </c>
      <c r="C38" s="8">
        <v>24954.244</v>
      </c>
      <c r="D38" s="8" t="s">
        <v>37</v>
      </c>
      <c r="E38">
        <f t="shared" si="0"/>
        <v>-473.9997678348409</v>
      </c>
      <c r="F38">
        <f t="shared" si="1"/>
        <v>-474</v>
      </c>
      <c r="G38">
        <f t="shared" si="2"/>
        <v>0.009120000002440065</v>
      </c>
      <c r="H38">
        <f t="shared" si="3"/>
        <v>0.009120000002440065</v>
      </c>
      <c r="O38">
        <f t="shared" si="4"/>
        <v>-0.07520436138534656</v>
      </c>
      <c r="Q38" s="2">
        <f t="shared" si="5"/>
        <v>9935.743999999999</v>
      </c>
    </row>
    <row r="39" spans="1:17" ht="12.75">
      <c r="A39" t="s">
        <v>130</v>
      </c>
      <c r="B39" t="s">
        <v>201</v>
      </c>
      <c r="C39" s="8">
        <v>25503.594</v>
      </c>
      <c r="D39" s="8" t="s">
        <v>37</v>
      </c>
      <c r="E39">
        <f t="shared" si="0"/>
        <v>-460.0151263747257</v>
      </c>
      <c r="F39">
        <f t="shared" si="1"/>
        <v>-460</v>
      </c>
      <c r="G39">
        <f t="shared" si="2"/>
        <v>-0.594199999995908</v>
      </c>
      <c r="H39">
        <f t="shared" si="3"/>
        <v>-0.594199999995908</v>
      </c>
      <c r="O39">
        <f t="shared" si="4"/>
        <v>-0.07171841701293791</v>
      </c>
      <c r="Q39" s="2">
        <f t="shared" si="5"/>
        <v>10485.094000000001</v>
      </c>
    </row>
    <row r="40" spans="1:17" ht="12.75">
      <c r="A40" t="s">
        <v>135</v>
      </c>
      <c r="B40" t="s">
        <v>201</v>
      </c>
      <c r="C40" s="8">
        <v>25543.507</v>
      </c>
      <c r="D40" s="8" t="s">
        <v>37</v>
      </c>
      <c r="E40">
        <f t="shared" si="0"/>
        <v>-458.9990728667661</v>
      </c>
      <c r="F40">
        <f t="shared" si="1"/>
        <v>-459</v>
      </c>
      <c r="G40">
        <f t="shared" si="2"/>
        <v>0.03642000000400003</v>
      </c>
      <c r="H40">
        <f t="shared" si="3"/>
        <v>0.03642000000400003</v>
      </c>
      <c r="O40">
        <f t="shared" si="4"/>
        <v>-0.0714694209863373</v>
      </c>
      <c r="Q40" s="2">
        <f t="shared" si="5"/>
        <v>10525.007000000001</v>
      </c>
    </row>
    <row r="41" spans="1:17" ht="12.75">
      <c r="A41" t="s">
        <v>130</v>
      </c>
      <c r="B41" t="s">
        <v>201</v>
      </c>
      <c r="C41" s="8">
        <v>25622.354</v>
      </c>
      <c r="D41" s="8" t="s">
        <v>37</v>
      </c>
      <c r="E41">
        <f t="shared" si="0"/>
        <v>-456.99188796605495</v>
      </c>
      <c r="F41">
        <f t="shared" si="1"/>
        <v>-457</v>
      </c>
      <c r="G41">
        <f t="shared" si="2"/>
        <v>0.3186600000008184</v>
      </c>
      <c r="H41">
        <f t="shared" si="3"/>
        <v>0.3186600000008184</v>
      </c>
      <c r="O41">
        <f t="shared" si="4"/>
        <v>-0.07097142893313604</v>
      </c>
      <c r="Q41" s="2">
        <f t="shared" si="5"/>
        <v>10603.854</v>
      </c>
    </row>
    <row r="42" spans="1:17" ht="12.75">
      <c r="A42" t="s">
        <v>135</v>
      </c>
      <c r="B42" t="s">
        <v>201</v>
      </c>
      <c r="C42" s="8">
        <v>27153.345</v>
      </c>
      <c r="D42" s="8" t="s">
        <v>37</v>
      </c>
      <c r="E42">
        <f t="shared" si="0"/>
        <v>-418.0179001374152</v>
      </c>
      <c r="F42">
        <f t="shared" si="1"/>
        <v>-418</v>
      </c>
      <c r="G42">
        <f t="shared" si="2"/>
        <v>-0.7031599999972968</v>
      </c>
      <c r="H42">
        <f t="shared" si="3"/>
        <v>-0.7031599999972968</v>
      </c>
      <c r="O42">
        <f t="shared" si="4"/>
        <v>-0.06126058389571199</v>
      </c>
      <c r="Q42" s="2">
        <f t="shared" si="5"/>
        <v>12134.845000000001</v>
      </c>
    </row>
    <row r="43" spans="1:17" ht="12.75">
      <c r="A43" t="s">
        <v>145</v>
      </c>
      <c r="B43" t="s">
        <v>201</v>
      </c>
      <c r="C43" s="8">
        <v>27429.078</v>
      </c>
      <c r="D43" s="8" t="s">
        <v>37</v>
      </c>
      <c r="E43">
        <f t="shared" si="0"/>
        <v>-410.998646212373</v>
      </c>
      <c r="F43">
        <f t="shared" si="1"/>
        <v>-411</v>
      </c>
      <c r="G43">
        <f t="shared" si="2"/>
        <v>0.05318000000261236</v>
      </c>
      <c r="H43">
        <f t="shared" si="3"/>
        <v>0.05318000000261236</v>
      </c>
      <c r="O43">
        <f t="shared" si="4"/>
        <v>-0.059517611709507666</v>
      </c>
      <c r="Q43" s="2">
        <f t="shared" si="5"/>
        <v>12410.578000000001</v>
      </c>
    </row>
    <row r="44" spans="1:17" ht="12.75">
      <c r="A44" t="s">
        <v>150</v>
      </c>
      <c r="B44" t="s">
        <v>201</v>
      </c>
      <c r="C44" s="8">
        <v>28450.37</v>
      </c>
      <c r="D44" s="8" t="s">
        <v>37</v>
      </c>
      <c r="E44">
        <f t="shared" si="0"/>
        <v>-384.99991599287006</v>
      </c>
      <c r="F44">
        <f t="shared" si="1"/>
        <v>-385</v>
      </c>
      <c r="G44">
        <f t="shared" si="2"/>
        <v>0.0033000000003085006</v>
      </c>
      <c r="H44">
        <f t="shared" si="3"/>
        <v>0.0033000000003085006</v>
      </c>
      <c r="O44">
        <f t="shared" si="4"/>
        <v>-0.05304371501789162</v>
      </c>
      <c r="Q44" s="2">
        <f t="shared" si="5"/>
        <v>13431.869999999999</v>
      </c>
    </row>
    <row r="45" spans="1:17" ht="12.75">
      <c r="A45" t="s">
        <v>154</v>
      </c>
      <c r="B45" t="s">
        <v>201</v>
      </c>
      <c r="C45" s="8">
        <v>29982.36</v>
      </c>
      <c r="D45" s="8" t="s">
        <v>37</v>
      </c>
      <c r="E45">
        <f t="shared" si="0"/>
        <v>-346.0004969149017</v>
      </c>
      <c r="F45">
        <f t="shared" si="1"/>
        <v>-346</v>
      </c>
      <c r="G45">
        <f t="shared" si="2"/>
        <v>-0.019519999994372483</v>
      </c>
      <c r="H45">
        <f t="shared" si="3"/>
        <v>-0.019519999994372483</v>
      </c>
      <c r="O45">
        <f t="shared" si="4"/>
        <v>-0.04333286998046756</v>
      </c>
      <c r="Q45" s="2">
        <f t="shared" si="5"/>
        <v>14963.86</v>
      </c>
    </row>
    <row r="46" spans="1:17" ht="12.75">
      <c r="A46" t="s">
        <v>158</v>
      </c>
      <c r="B46" t="s">
        <v>201</v>
      </c>
      <c r="C46" s="8">
        <v>29982.37</v>
      </c>
      <c r="D46" s="8" t="s">
        <v>37</v>
      </c>
      <c r="E46">
        <f t="shared" si="0"/>
        <v>-346.00024234784144</v>
      </c>
      <c r="F46">
        <f t="shared" si="1"/>
        <v>-346</v>
      </c>
      <c r="G46">
        <f t="shared" si="2"/>
        <v>-0.009519999995973194</v>
      </c>
      <c r="H46">
        <f t="shared" si="3"/>
        <v>-0.009519999995973194</v>
      </c>
      <c r="O46">
        <f t="shared" si="4"/>
        <v>-0.04333286998046756</v>
      </c>
      <c r="Q46" s="2">
        <f t="shared" si="5"/>
        <v>14963.869999999999</v>
      </c>
    </row>
    <row r="47" spans="1:17" ht="12.75">
      <c r="A47" t="s">
        <v>130</v>
      </c>
      <c r="B47" t="s">
        <v>201</v>
      </c>
      <c r="C47" s="8">
        <v>30257.624</v>
      </c>
      <c r="D47" s="8" t="s">
        <v>37</v>
      </c>
      <c r="E47">
        <f t="shared" si="0"/>
        <v>-338.99318218498973</v>
      </c>
      <c r="F47">
        <f t="shared" si="1"/>
        <v>-339</v>
      </c>
      <c r="G47">
        <f t="shared" si="2"/>
        <v>0.2678200000045763</v>
      </c>
      <c r="H47">
        <f t="shared" si="3"/>
        <v>0.2678200000045763</v>
      </c>
      <c r="O47">
        <f t="shared" si="4"/>
        <v>-0.04158989779426323</v>
      </c>
      <c r="Q47" s="2">
        <f t="shared" si="5"/>
        <v>15239.124</v>
      </c>
    </row>
    <row r="48" spans="1:17" ht="12.75">
      <c r="A48" t="s">
        <v>130</v>
      </c>
      <c r="B48" t="s">
        <v>201</v>
      </c>
      <c r="C48" s="8">
        <v>30375.325</v>
      </c>
      <c r="D48" s="8" t="s">
        <v>37</v>
      </c>
      <c r="E48">
        <f t="shared" si="0"/>
        <v>-335.9969024280096</v>
      </c>
      <c r="F48">
        <f t="shared" si="1"/>
        <v>-336</v>
      </c>
      <c r="G48">
        <f t="shared" si="2"/>
        <v>0.12168000000383472</v>
      </c>
      <c r="H48">
        <f t="shared" si="3"/>
        <v>0.12168000000383472</v>
      </c>
      <c r="O48">
        <f t="shared" si="4"/>
        <v>-0.04084290971446138</v>
      </c>
      <c r="Q48" s="2">
        <f t="shared" si="5"/>
        <v>15356.825</v>
      </c>
    </row>
    <row r="49" spans="1:17" ht="12.75">
      <c r="A49" t="s">
        <v>130</v>
      </c>
      <c r="B49" t="s">
        <v>201</v>
      </c>
      <c r="C49" s="8">
        <v>30375.361</v>
      </c>
      <c r="D49" s="8" t="s">
        <v>37</v>
      </c>
      <c r="E49">
        <f t="shared" si="0"/>
        <v>-335.99598598659236</v>
      </c>
      <c r="F49">
        <f t="shared" si="1"/>
        <v>-336</v>
      </c>
      <c r="G49">
        <f t="shared" si="2"/>
        <v>0.15768000000389293</v>
      </c>
      <c r="H49">
        <f t="shared" si="3"/>
        <v>0.15768000000389293</v>
      </c>
      <c r="O49">
        <f t="shared" si="4"/>
        <v>-0.04084290971446138</v>
      </c>
      <c r="Q49" s="2">
        <f t="shared" si="5"/>
        <v>15356.861</v>
      </c>
    </row>
    <row r="50" spans="1:17" ht="12.75">
      <c r="A50" t="s">
        <v>130</v>
      </c>
      <c r="B50" t="s">
        <v>201</v>
      </c>
      <c r="C50" s="8">
        <v>31003.531</v>
      </c>
      <c r="D50" s="8" t="s">
        <v>37</v>
      </c>
      <c r="E50">
        <f t="shared" si="0"/>
        <v>-320.00484695682894</v>
      </c>
      <c r="F50">
        <f t="shared" si="1"/>
        <v>-320</v>
      </c>
      <c r="G50">
        <f t="shared" si="2"/>
        <v>-0.19039999999949941</v>
      </c>
      <c r="H50">
        <f t="shared" si="3"/>
        <v>-0.19039999999949941</v>
      </c>
      <c r="O50">
        <f t="shared" si="4"/>
        <v>-0.03685897328885151</v>
      </c>
      <c r="Q50" s="2">
        <f t="shared" si="5"/>
        <v>15985.030999999999</v>
      </c>
    </row>
    <row r="51" spans="1:17" ht="12.75">
      <c r="A51" t="s">
        <v>130</v>
      </c>
      <c r="B51" t="s">
        <v>201</v>
      </c>
      <c r="C51" s="8">
        <v>31003.557</v>
      </c>
      <c r="D51" s="8" t="s">
        <v>37</v>
      </c>
      <c r="E51">
        <f t="shared" si="0"/>
        <v>-320.004185082472</v>
      </c>
      <c r="F51">
        <f t="shared" si="1"/>
        <v>-320</v>
      </c>
      <c r="G51">
        <f t="shared" si="2"/>
        <v>-0.1643999999978405</v>
      </c>
      <c r="H51">
        <f t="shared" si="3"/>
        <v>-0.1643999999978405</v>
      </c>
      <c r="O51">
        <f t="shared" si="4"/>
        <v>-0.03685897328885151</v>
      </c>
      <c r="Q51" s="2">
        <f t="shared" si="5"/>
        <v>15985.057</v>
      </c>
    </row>
    <row r="52" spans="1:17" ht="12.75">
      <c r="A52" t="s">
        <v>130</v>
      </c>
      <c r="B52" t="s">
        <v>201</v>
      </c>
      <c r="C52" s="8">
        <v>31710.613</v>
      </c>
      <c r="D52" s="8" t="s">
        <v>37</v>
      </c>
      <c r="E52">
        <f t="shared" si="0"/>
        <v>-302.004868340462</v>
      </c>
      <c r="F52">
        <f t="shared" si="1"/>
        <v>-302</v>
      </c>
      <c r="G52">
        <f t="shared" si="2"/>
        <v>-0.19123999999646912</v>
      </c>
      <c r="H52">
        <f t="shared" si="3"/>
        <v>-0.19123999999646912</v>
      </c>
      <c r="O52">
        <f t="shared" si="4"/>
        <v>-0.032377044810040397</v>
      </c>
      <c r="Q52" s="2">
        <f t="shared" si="5"/>
        <v>16692.113</v>
      </c>
    </row>
    <row r="53" spans="1:17" ht="12.75">
      <c r="A53" t="s">
        <v>130</v>
      </c>
      <c r="B53" t="s">
        <v>201</v>
      </c>
      <c r="C53" s="8">
        <v>32889.452</v>
      </c>
      <c r="D53" s="8" t="s">
        <v>37</v>
      </c>
      <c r="E53">
        <f t="shared" si="0"/>
        <v>-271.99551045532377</v>
      </c>
      <c r="F53">
        <f t="shared" si="1"/>
        <v>-272</v>
      </c>
      <c r="G53">
        <f t="shared" si="2"/>
        <v>0.17635999999765772</v>
      </c>
      <c r="H53">
        <f t="shared" si="3"/>
        <v>0.17635999999765772</v>
      </c>
      <c r="O53">
        <f t="shared" si="4"/>
        <v>-0.024907164012021886</v>
      </c>
      <c r="Q53" s="2">
        <f t="shared" si="5"/>
        <v>17870.951999999997</v>
      </c>
    </row>
    <row r="54" spans="1:17" ht="12.75">
      <c r="A54" t="s">
        <v>130</v>
      </c>
      <c r="B54" t="s">
        <v>201</v>
      </c>
      <c r="C54" s="8">
        <v>32889.482</v>
      </c>
      <c r="D54" s="8" t="s">
        <v>37</v>
      </c>
      <c r="E54">
        <f t="shared" si="0"/>
        <v>-271.99474675414257</v>
      </c>
      <c r="F54">
        <f t="shared" si="1"/>
        <v>-272</v>
      </c>
      <c r="G54">
        <f t="shared" si="2"/>
        <v>0.20636000000376953</v>
      </c>
      <c r="H54">
        <f t="shared" si="3"/>
        <v>0.20636000000376953</v>
      </c>
      <c r="O54">
        <f t="shared" si="4"/>
        <v>-0.024907164012021886</v>
      </c>
      <c r="Q54" s="2">
        <f t="shared" si="5"/>
        <v>17870.982000000004</v>
      </c>
    </row>
    <row r="55" spans="1:17" ht="12.75">
      <c r="A55" t="s">
        <v>130</v>
      </c>
      <c r="B55" t="s">
        <v>201</v>
      </c>
      <c r="C55" s="8">
        <v>32968.292</v>
      </c>
      <c r="D55" s="8" t="s">
        <v>37</v>
      </c>
      <c r="E55">
        <f t="shared" si="0"/>
        <v>-269.9885037515547</v>
      </c>
      <c r="F55">
        <f t="shared" si="1"/>
        <v>-270</v>
      </c>
      <c r="G55">
        <f t="shared" si="2"/>
        <v>0.45160000000032596</v>
      </c>
      <c r="H55">
        <f t="shared" si="3"/>
        <v>0.45160000000032596</v>
      </c>
      <c r="O55">
        <f t="shared" si="4"/>
        <v>-0.024409171958820648</v>
      </c>
      <c r="Q55" s="2">
        <f t="shared" si="5"/>
        <v>17949.792</v>
      </c>
    </row>
    <row r="56" spans="1:17" ht="12.75">
      <c r="A56" t="s">
        <v>130</v>
      </c>
      <c r="B56" t="s">
        <v>201</v>
      </c>
      <c r="C56" s="8">
        <v>33164.603</v>
      </c>
      <c r="D56" s="8" t="s">
        <v>37</v>
      </c>
      <c r="E56">
        <f t="shared" si="0"/>
        <v>-264.99107233319353</v>
      </c>
      <c r="F56">
        <f t="shared" si="1"/>
        <v>-265</v>
      </c>
      <c r="G56">
        <f t="shared" si="2"/>
        <v>0.3507000000026892</v>
      </c>
      <c r="H56">
        <f t="shared" si="3"/>
        <v>0.3507000000026892</v>
      </c>
      <c r="O56">
        <f t="shared" si="4"/>
        <v>-0.02316419182581756</v>
      </c>
      <c r="Q56" s="2">
        <f t="shared" si="5"/>
        <v>18146.103000000003</v>
      </c>
    </row>
    <row r="57" spans="1:20" ht="12.75">
      <c r="A57" t="s">
        <v>52</v>
      </c>
      <c r="C57" s="8">
        <v>43574.083</v>
      </c>
      <c r="D57" s="8" t="s">
        <v>13</v>
      </c>
      <c r="E57">
        <f t="shared" si="0"/>
        <v>0</v>
      </c>
      <c r="F57">
        <f t="shared" si="1"/>
        <v>0</v>
      </c>
      <c r="G57">
        <f t="shared" si="2"/>
        <v>0</v>
      </c>
      <c r="I57">
        <f>+G57</f>
        <v>0</v>
      </c>
      <c r="O57">
        <f t="shared" si="4"/>
        <v>0.042819755223345975</v>
      </c>
      <c r="Q57" s="2">
        <f t="shared" si="5"/>
        <v>28555.583</v>
      </c>
      <c r="R57" s="2"/>
      <c r="S57" s="2"/>
      <c r="T57" s="2"/>
    </row>
    <row r="58" spans="1:17" ht="12.75">
      <c r="A58" t="s">
        <v>200</v>
      </c>
      <c r="B58" t="s">
        <v>201</v>
      </c>
      <c r="C58" s="8">
        <v>51901.969</v>
      </c>
      <c r="D58" s="8" t="s">
        <v>37</v>
      </c>
      <c r="E58">
        <f t="shared" si="0"/>
        <v>212.00054579177734</v>
      </c>
      <c r="F58">
        <f t="shared" si="1"/>
        <v>212</v>
      </c>
      <c r="G58">
        <f t="shared" si="2"/>
        <v>0.021439999996800907</v>
      </c>
      <c r="H58">
        <f>+G58</f>
        <v>0.021439999996800907</v>
      </c>
      <c r="O58">
        <f t="shared" si="4"/>
        <v>0.09560691286267681</v>
      </c>
      <c r="Q58" s="2">
        <f t="shared" si="5"/>
        <v>36883.469</v>
      </c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4"/>
  <sheetViews>
    <sheetView zoomScalePageLayoutView="0" workbookViewId="0" topLeftCell="A1">
      <selection activeCell="A12" sqref="A12:D48"/>
    </sheetView>
  </sheetViews>
  <sheetFormatPr defaultColWidth="9.140625" defaultRowHeight="12.75"/>
  <cols>
    <col min="1" max="1" width="19.7109375" style="8" customWidth="1"/>
    <col min="2" max="2" width="4.421875" style="10" customWidth="1"/>
    <col min="3" max="3" width="12.7109375" style="8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8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39" t="s">
        <v>40</v>
      </c>
      <c r="I1" s="40" t="s">
        <v>41</v>
      </c>
      <c r="J1" s="41" t="s">
        <v>39</v>
      </c>
    </row>
    <row r="2" spans="9:10" ht="12.75">
      <c r="I2" s="42" t="s">
        <v>42</v>
      </c>
      <c r="J2" s="43" t="s">
        <v>38</v>
      </c>
    </row>
    <row r="3" spans="1:10" ht="12.75">
      <c r="A3" s="44" t="s">
        <v>43</v>
      </c>
      <c r="I3" s="42" t="s">
        <v>44</v>
      </c>
      <c r="J3" s="43" t="s">
        <v>36</v>
      </c>
    </row>
    <row r="4" spans="9:10" ht="12.75">
      <c r="I4" s="42" t="s">
        <v>45</v>
      </c>
      <c r="J4" s="43" t="s">
        <v>36</v>
      </c>
    </row>
    <row r="5" spans="9:10" ht="13.5" thickBot="1">
      <c r="I5" s="45" t="s">
        <v>46</v>
      </c>
      <c r="J5" s="46" t="s">
        <v>37</v>
      </c>
    </row>
    <row r="10" ht="13.5" thickBot="1"/>
    <row r="11" spans="1:16" ht="12.75" customHeight="1" thickBot="1">
      <c r="A11" s="8" t="str">
        <f aca="true" t="shared" si="0" ref="A11:A48">P11</f>
        <v>IBVS 1665 </v>
      </c>
      <c r="B11" s="3" t="str">
        <f aca="true" t="shared" si="1" ref="B11:B48">IF(H11=INT(H11),"I","II")</f>
        <v>I</v>
      </c>
      <c r="C11" s="8">
        <f aca="true" t="shared" si="2" ref="C11:C48">1*G11</f>
        <v>43574.083</v>
      </c>
      <c r="D11" s="10" t="str">
        <f aca="true" t="shared" si="3" ref="D11:D48">VLOOKUP(F11,I$1:J$5,2,FALSE)</f>
        <v>vis</v>
      </c>
      <c r="E11" s="47">
        <f>VLOOKUP(C11,A!C$21:E$973,3,FALSE)</f>
        <v>0</v>
      </c>
      <c r="F11" s="3" t="s">
        <v>46</v>
      </c>
      <c r="G11" s="10" t="str">
        <f aca="true" t="shared" si="4" ref="G11:G48">MID(I11,3,LEN(I11)-3)</f>
        <v>43574.083</v>
      </c>
      <c r="H11" s="8">
        <f aca="true" t="shared" si="5" ref="H11:H48">1*K11</f>
        <v>0</v>
      </c>
      <c r="I11" s="48" t="s">
        <v>189</v>
      </c>
      <c r="J11" s="49" t="s">
        <v>190</v>
      </c>
      <c r="K11" s="48">
        <v>0</v>
      </c>
      <c r="L11" s="48" t="s">
        <v>191</v>
      </c>
      <c r="M11" s="49" t="s">
        <v>192</v>
      </c>
      <c r="N11" s="49" t="s">
        <v>193</v>
      </c>
      <c r="O11" s="50" t="s">
        <v>194</v>
      </c>
      <c r="P11" s="51" t="s">
        <v>195</v>
      </c>
    </row>
    <row r="12" spans="1:16" ht="12.75" customHeight="1" thickBot="1">
      <c r="A12" s="8" t="str">
        <f t="shared" si="0"/>
        <v> HC 196 </v>
      </c>
      <c r="B12" s="3" t="str">
        <f t="shared" si="1"/>
        <v>I</v>
      </c>
      <c r="C12" s="8">
        <f t="shared" si="2"/>
        <v>13013</v>
      </c>
      <c r="D12" s="10" t="str">
        <f t="shared" si="3"/>
        <v>vis</v>
      </c>
      <c r="E12" s="47">
        <f>VLOOKUP(C12,A!C$21:E$973,3,FALSE)</f>
        <v>-777.984506030439</v>
      </c>
      <c r="F12" s="3" t="s">
        <v>46</v>
      </c>
      <c r="G12" s="10" t="str">
        <f t="shared" si="4"/>
        <v>13013.0</v>
      </c>
      <c r="H12" s="8">
        <f t="shared" si="5"/>
        <v>-778</v>
      </c>
      <c r="I12" s="48" t="s">
        <v>54</v>
      </c>
      <c r="J12" s="49" t="s">
        <v>55</v>
      </c>
      <c r="K12" s="48">
        <v>-778</v>
      </c>
      <c r="L12" s="48" t="s">
        <v>56</v>
      </c>
      <c r="M12" s="49" t="s">
        <v>57</v>
      </c>
      <c r="N12" s="49"/>
      <c r="O12" s="50" t="s">
        <v>58</v>
      </c>
      <c r="P12" s="50" t="s">
        <v>59</v>
      </c>
    </row>
    <row r="13" spans="1:16" ht="12.75" customHeight="1" thickBot="1">
      <c r="A13" s="8" t="str">
        <f t="shared" si="0"/>
        <v> AA 7.86 </v>
      </c>
      <c r="B13" s="3" t="str">
        <f t="shared" si="1"/>
        <v>I</v>
      </c>
      <c r="C13" s="8">
        <f t="shared" si="2"/>
        <v>17490.57</v>
      </c>
      <c r="D13" s="10" t="str">
        <f t="shared" si="3"/>
        <v>vis</v>
      </c>
      <c r="E13" s="47">
        <f>VLOOKUP(C13,A!C$21:E$973,3,FALSE)</f>
        <v>-664.0003227910324</v>
      </c>
      <c r="F13" s="3" t="s">
        <v>46</v>
      </c>
      <c r="G13" s="10" t="str">
        <f t="shared" si="4"/>
        <v>17490.57</v>
      </c>
      <c r="H13" s="8">
        <f t="shared" si="5"/>
        <v>-664</v>
      </c>
      <c r="I13" s="48" t="s">
        <v>60</v>
      </c>
      <c r="J13" s="49" t="s">
        <v>61</v>
      </c>
      <c r="K13" s="48">
        <v>-664</v>
      </c>
      <c r="L13" s="48" t="s">
        <v>62</v>
      </c>
      <c r="M13" s="49" t="s">
        <v>47</v>
      </c>
      <c r="N13" s="49"/>
      <c r="O13" s="50" t="s">
        <v>63</v>
      </c>
      <c r="P13" s="50" t="s">
        <v>64</v>
      </c>
    </row>
    <row r="14" spans="1:16" ht="12.75" customHeight="1" thickBot="1">
      <c r="A14" s="8" t="str">
        <f t="shared" si="0"/>
        <v> CRAC 24 </v>
      </c>
      <c r="B14" s="3" t="str">
        <f t="shared" si="1"/>
        <v>I</v>
      </c>
      <c r="C14" s="8">
        <f t="shared" si="2"/>
        <v>23500.397</v>
      </c>
      <c r="D14" s="10" t="str">
        <f t="shared" si="3"/>
        <v>vis</v>
      </c>
      <c r="E14" s="47">
        <f>VLOOKUP(C14,A!C$21:E$973,3,FALSE)</f>
        <v>-511.0099235331463</v>
      </c>
      <c r="F14" s="3" t="s">
        <v>46</v>
      </c>
      <c r="G14" s="10" t="str">
        <f t="shared" si="4"/>
        <v>23500.397</v>
      </c>
      <c r="H14" s="8">
        <f t="shared" si="5"/>
        <v>-511</v>
      </c>
      <c r="I14" s="48" t="s">
        <v>65</v>
      </c>
      <c r="J14" s="49" t="s">
        <v>66</v>
      </c>
      <c r="K14" s="48">
        <v>-511</v>
      </c>
      <c r="L14" s="48" t="s">
        <v>67</v>
      </c>
      <c r="M14" s="49" t="s">
        <v>68</v>
      </c>
      <c r="N14" s="49"/>
      <c r="O14" s="50" t="s">
        <v>69</v>
      </c>
      <c r="P14" s="50" t="s">
        <v>70</v>
      </c>
    </row>
    <row r="15" spans="1:16" ht="12.75" customHeight="1" thickBot="1">
      <c r="A15" s="8" t="str">
        <f t="shared" si="0"/>
        <v> CRAC 24 </v>
      </c>
      <c r="B15" s="3" t="str">
        <f t="shared" si="1"/>
        <v>I</v>
      </c>
      <c r="C15" s="8">
        <f t="shared" si="2"/>
        <v>23736.189</v>
      </c>
      <c r="D15" s="10" t="str">
        <f t="shared" si="3"/>
        <v>vis</v>
      </c>
      <c r="E15" s="47">
        <f>VLOOKUP(C15,A!C$21:E$973,3,FALSE)</f>
        <v>-505.0074359038327</v>
      </c>
      <c r="F15" s="3" t="s">
        <v>46</v>
      </c>
      <c r="G15" s="10" t="str">
        <f t="shared" si="4"/>
        <v>23736.189</v>
      </c>
      <c r="H15" s="8">
        <f t="shared" si="5"/>
        <v>-505</v>
      </c>
      <c r="I15" s="48" t="s">
        <v>71</v>
      </c>
      <c r="J15" s="49" t="s">
        <v>72</v>
      </c>
      <c r="K15" s="48">
        <v>-505</v>
      </c>
      <c r="L15" s="48" t="s">
        <v>73</v>
      </c>
      <c r="M15" s="49" t="s">
        <v>68</v>
      </c>
      <c r="N15" s="49"/>
      <c r="O15" s="50" t="s">
        <v>74</v>
      </c>
      <c r="P15" s="50" t="s">
        <v>70</v>
      </c>
    </row>
    <row r="16" spans="1:16" ht="12.75" customHeight="1" thickBot="1">
      <c r="A16" s="8" t="str">
        <f t="shared" si="0"/>
        <v> CRAC 24 </v>
      </c>
      <c r="B16" s="3" t="str">
        <f t="shared" si="1"/>
        <v>I</v>
      </c>
      <c r="C16" s="8">
        <f t="shared" si="2"/>
        <v>23736.24</v>
      </c>
      <c r="D16" s="10" t="str">
        <f t="shared" si="3"/>
        <v>vis</v>
      </c>
      <c r="E16" s="47">
        <f>VLOOKUP(C16,A!C$21:E$973,3,FALSE)</f>
        <v>-505.00613761182484</v>
      </c>
      <c r="F16" s="3" t="s">
        <v>46</v>
      </c>
      <c r="G16" s="10" t="str">
        <f t="shared" si="4"/>
        <v>23736.240</v>
      </c>
      <c r="H16" s="8">
        <f t="shared" si="5"/>
        <v>-505</v>
      </c>
      <c r="I16" s="48" t="s">
        <v>75</v>
      </c>
      <c r="J16" s="49" t="s">
        <v>76</v>
      </c>
      <c r="K16" s="48">
        <v>-505</v>
      </c>
      <c r="L16" s="48" t="s">
        <v>77</v>
      </c>
      <c r="M16" s="49" t="s">
        <v>68</v>
      </c>
      <c r="N16" s="49"/>
      <c r="O16" s="50" t="s">
        <v>69</v>
      </c>
      <c r="P16" s="50" t="s">
        <v>70</v>
      </c>
    </row>
    <row r="17" spans="1:16" ht="12.75" customHeight="1" thickBot="1">
      <c r="A17" s="8" t="str">
        <f t="shared" si="0"/>
        <v> BZ 7.5 </v>
      </c>
      <c r="B17" s="3" t="str">
        <f t="shared" si="1"/>
        <v>I</v>
      </c>
      <c r="C17" s="8">
        <f t="shared" si="2"/>
        <v>23775.57</v>
      </c>
      <c r="D17" s="10" t="str">
        <f t="shared" si="3"/>
        <v>vis</v>
      </c>
      <c r="E17" s="47">
        <f>VLOOKUP(C17,A!C$21:E$973,3,FALSE)</f>
        <v>-504.0049253634835</v>
      </c>
      <c r="F17" s="3" t="s">
        <v>46</v>
      </c>
      <c r="G17" s="10" t="str">
        <f t="shared" si="4"/>
        <v>23775.57</v>
      </c>
      <c r="H17" s="8">
        <f t="shared" si="5"/>
        <v>-504</v>
      </c>
      <c r="I17" s="48" t="s">
        <v>78</v>
      </c>
      <c r="J17" s="49" t="s">
        <v>79</v>
      </c>
      <c r="K17" s="48">
        <v>-504</v>
      </c>
      <c r="L17" s="48" t="s">
        <v>80</v>
      </c>
      <c r="M17" s="49" t="s">
        <v>68</v>
      </c>
      <c r="N17" s="49"/>
      <c r="O17" s="50" t="s">
        <v>81</v>
      </c>
      <c r="P17" s="50" t="s">
        <v>82</v>
      </c>
    </row>
    <row r="18" spans="1:16" ht="12.75" customHeight="1" thickBot="1">
      <c r="A18" s="8" t="str">
        <f t="shared" si="0"/>
        <v> CRAC 24 </v>
      </c>
      <c r="B18" s="3" t="str">
        <f t="shared" si="1"/>
        <v>I</v>
      </c>
      <c r="C18" s="8">
        <f t="shared" si="2"/>
        <v>23814.67</v>
      </c>
      <c r="D18" s="10" t="str">
        <f t="shared" si="3"/>
        <v>vis</v>
      </c>
      <c r="E18" s="47">
        <f>VLOOKUP(C18,A!C$21:E$973,3,FALSE)</f>
        <v>-503.0095681575301</v>
      </c>
      <c r="F18" s="3" t="s">
        <v>46</v>
      </c>
      <c r="G18" s="10" t="str">
        <f t="shared" si="4"/>
        <v>23814.67</v>
      </c>
      <c r="H18" s="8">
        <f t="shared" si="5"/>
        <v>-503</v>
      </c>
      <c r="I18" s="48" t="s">
        <v>83</v>
      </c>
      <c r="J18" s="49" t="s">
        <v>84</v>
      </c>
      <c r="K18" s="48">
        <v>-503</v>
      </c>
      <c r="L18" s="48" t="s">
        <v>85</v>
      </c>
      <c r="M18" s="49" t="s">
        <v>68</v>
      </c>
      <c r="N18" s="49"/>
      <c r="O18" s="50" t="s">
        <v>86</v>
      </c>
      <c r="P18" s="50" t="s">
        <v>70</v>
      </c>
    </row>
    <row r="19" spans="1:16" ht="12.75" customHeight="1" thickBot="1">
      <c r="A19" s="8" t="str">
        <f t="shared" si="0"/>
        <v> CRAC 24 </v>
      </c>
      <c r="B19" s="3" t="str">
        <f t="shared" si="1"/>
        <v>I</v>
      </c>
      <c r="C19" s="8">
        <f t="shared" si="2"/>
        <v>23853.999</v>
      </c>
      <c r="D19" s="10" t="str">
        <f t="shared" si="3"/>
        <v>vis</v>
      </c>
      <c r="E19" s="47">
        <f>VLOOKUP(C19,A!C$21:E$973,3,FALSE)</f>
        <v>-502.00838136589476</v>
      </c>
      <c r="F19" s="3" t="s">
        <v>46</v>
      </c>
      <c r="G19" s="10" t="str">
        <f t="shared" si="4"/>
        <v>23853.999</v>
      </c>
      <c r="H19" s="8">
        <f t="shared" si="5"/>
        <v>-502</v>
      </c>
      <c r="I19" s="48" t="s">
        <v>87</v>
      </c>
      <c r="J19" s="49" t="s">
        <v>88</v>
      </c>
      <c r="K19" s="48">
        <v>-502</v>
      </c>
      <c r="L19" s="48" t="s">
        <v>89</v>
      </c>
      <c r="M19" s="49" t="s">
        <v>68</v>
      </c>
      <c r="N19" s="49"/>
      <c r="O19" s="50" t="s">
        <v>90</v>
      </c>
      <c r="P19" s="50" t="s">
        <v>70</v>
      </c>
    </row>
    <row r="20" spans="1:16" ht="12.75" customHeight="1" thickBot="1">
      <c r="A20" s="8" t="str">
        <f t="shared" si="0"/>
        <v> AC 195.16 </v>
      </c>
      <c r="B20" s="3" t="str">
        <f t="shared" si="1"/>
        <v>I</v>
      </c>
      <c r="C20" s="8">
        <f t="shared" si="2"/>
        <v>23854.03</v>
      </c>
      <c r="D20" s="10" t="str">
        <f t="shared" si="3"/>
        <v>vis</v>
      </c>
      <c r="E20" s="47">
        <f>VLOOKUP(C20,A!C$21:E$973,3,FALSE)</f>
        <v>-502.00759220800774</v>
      </c>
      <c r="F20" s="3" t="s">
        <v>46</v>
      </c>
      <c r="G20" s="10" t="str">
        <f t="shared" si="4"/>
        <v>23854.03</v>
      </c>
      <c r="H20" s="8">
        <f t="shared" si="5"/>
        <v>-502</v>
      </c>
      <c r="I20" s="48" t="s">
        <v>91</v>
      </c>
      <c r="J20" s="49" t="s">
        <v>92</v>
      </c>
      <c r="K20" s="48">
        <v>-502</v>
      </c>
      <c r="L20" s="48" t="s">
        <v>93</v>
      </c>
      <c r="M20" s="49" t="s">
        <v>68</v>
      </c>
      <c r="N20" s="49"/>
      <c r="O20" s="50" t="s">
        <v>94</v>
      </c>
      <c r="P20" s="50" t="s">
        <v>95</v>
      </c>
    </row>
    <row r="21" spans="1:16" ht="12.75" customHeight="1" thickBot="1">
      <c r="A21" s="8" t="str">
        <f t="shared" si="0"/>
        <v> CRAC 24 </v>
      </c>
      <c r="B21" s="3" t="str">
        <f t="shared" si="1"/>
        <v>I</v>
      </c>
      <c r="C21" s="8">
        <f t="shared" si="2"/>
        <v>23854.101</v>
      </c>
      <c r="D21" s="10" t="str">
        <f t="shared" si="3"/>
        <v>vis</v>
      </c>
      <c r="E21" s="47">
        <f>VLOOKUP(C21,A!C$21:E$973,3,FALSE)</f>
        <v>-502.00578478187924</v>
      </c>
      <c r="F21" s="3" t="s">
        <v>46</v>
      </c>
      <c r="G21" s="10" t="str">
        <f t="shared" si="4"/>
        <v>23854.101</v>
      </c>
      <c r="H21" s="8">
        <f t="shared" si="5"/>
        <v>-502</v>
      </c>
      <c r="I21" s="48" t="s">
        <v>96</v>
      </c>
      <c r="J21" s="49" t="s">
        <v>97</v>
      </c>
      <c r="K21" s="48">
        <v>-502</v>
      </c>
      <c r="L21" s="48" t="s">
        <v>98</v>
      </c>
      <c r="M21" s="49" t="s">
        <v>68</v>
      </c>
      <c r="N21" s="49"/>
      <c r="O21" s="50" t="s">
        <v>86</v>
      </c>
      <c r="P21" s="50" t="s">
        <v>70</v>
      </c>
    </row>
    <row r="22" spans="1:16" ht="12.75" customHeight="1" thickBot="1">
      <c r="A22" s="8" t="str">
        <f t="shared" si="0"/>
        <v> CRAC 24 </v>
      </c>
      <c r="B22" s="3" t="str">
        <f t="shared" si="1"/>
        <v>I</v>
      </c>
      <c r="C22" s="8">
        <f t="shared" si="2"/>
        <v>23854.107</v>
      </c>
      <c r="D22" s="10" t="str">
        <f t="shared" si="3"/>
        <v>vis</v>
      </c>
      <c r="E22" s="47">
        <f>VLOOKUP(C22,A!C$21:E$973,3,FALSE)</f>
        <v>-502.005632041643</v>
      </c>
      <c r="F22" s="3" t="s">
        <v>46</v>
      </c>
      <c r="G22" s="10" t="str">
        <f t="shared" si="4"/>
        <v>23854.107</v>
      </c>
      <c r="H22" s="8">
        <f t="shared" si="5"/>
        <v>-502</v>
      </c>
      <c r="I22" s="48" t="s">
        <v>99</v>
      </c>
      <c r="J22" s="49" t="s">
        <v>100</v>
      </c>
      <c r="K22" s="48">
        <v>-502</v>
      </c>
      <c r="L22" s="48" t="s">
        <v>101</v>
      </c>
      <c r="M22" s="49" t="s">
        <v>68</v>
      </c>
      <c r="N22" s="49"/>
      <c r="O22" s="50" t="s">
        <v>81</v>
      </c>
      <c r="P22" s="50" t="s">
        <v>70</v>
      </c>
    </row>
    <row r="23" spans="1:16" ht="12.75" customHeight="1" thickBot="1">
      <c r="A23" s="8" t="str">
        <f t="shared" si="0"/>
        <v> CRAC 24 </v>
      </c>
      <c r="B23" s="3" t="str">
        <f t="shared" si="1"/>
        <v>I</v>
      </c>
      <c r="C23" s="8">
        <f t="shared" si="2"/>
        <v>24600.631</v>
      </c>
      <c r="D23" s="10" t="str">
        <f t="shared" si="3"/>
        <v>vis</v>
      </c>
      <c r="E23" s="47">
        <f>VLOOKUP(C23,A!C$21:E$973,3,FALSE)</f>
        <v>-483.00159002585883</v>
      </c>
      <c r="F23" s="3" t="s">
        <v>46</v>
      </c>
      <c r="G23" s="10" t="str">
        <f t="shared" si="4"/>
        <v>24600.631</v>
      </c>
      <c r="H23" s="8">
        <f t="shared" si="5"/>
        <v>-483</v>
      </c>
      <c r="I23" s="48" t="s">
        <v>102</v>
      </c>
      <c r="J23" s="49" t="s">
        <v>103</v>
      </c>
      <c r="K23" s="48">
        <v>-483</v>
      </c>
      <c r="L23" s="48" t="s">
        <v>104</v>
      </c>
      <c r="M23" s="49" t="s">
        <v>68</v>
      </c>
      <c r="N23" s="49"/>
      <c r="O23" s="50" t="s">
        <v>105</v>
      </c>
      <c r="P23" s="50" t="s">
        <v>70</v>
      </c>
    </row>
    <row r="24" spans="1:16" ht="12.75" customHeight="1" thickBot="1">
      <c r="A24" s="8" t="str">
        <f t="shared" si="0"/>
        <v> CRAC 24 </v>
      </c>
      <c r="B24" s="3" t="str">
        <f t="shared" si="1"/>
        <v>I</v>
      </c>
      <c r="C24" s="8">
        <f t="shared" si="2"/>
        <v>24600.783</v>
      </c>
      <c r="D24" s="10" t="str">
        <f t="shared" si="3"/>
        <v>vis</v>
      </c>
      <c r="E24" s="47">
        <f>VLOOKUP(C24,A!C$21:E$973,3,FALSE)</f>
        <v>-482.9977206065416</v>
      </c>
      <c r="F24" s="3" t="s">
        <v>46</v>
      </c>
      <c r="G24" s="10" t="str">
        <f t="shared" si="4"/>
        <v>24600.783</v>
      </c>
      <c r="H24" s="8">
        <f t="shared" si="5"/>
        <v>-483</v>
      </c>
      <c r="I24" s="48" t="s">
        <v>106</v>
      </c>
      <c r="J24" s="49" t="s">
        <v>107</v>
      </c>
      <c r="K24" s="48">
        <v>-483</v>
      </c>
      <c r="L24" s="48" t="s">
        <v>108</v>
      </c>
      <c r="M24" s="49" t="s">
        <v>68</v>
      </c>
      <c r="N24" s="49"/>
      <c r="O24" s="50" t="s">
        <v>69</v>
      </c>
      <c r="P24" s="50" t="s">
        <v>70</v>
      </c>
    </row>
    <row r="25" spans="1:16" ht="12.75" customHeight="1" thickBot="1">
      <c r="A25" s="8" t="str">
        <f t="shared" si="0"/>
        <v> CRAC 24 </v>
      </c>
      <c r="B25" s="3" t="str">
        <f t="shared" si="1"/>
        <v>I</v>
      </c>
      <c r="C25" s="8">
        <f t="shared" si="2"/>
        <v>24796.817</v>
      </c>
      <c r="D25" s="10" t="str">
        <f t="shared" si="3"/>
        <v>vis</v>
      </c>
      <c r="E25" s="47">
        <f>VLOOKUP(C25,A!C$21:E$973,3,FALSE)</f>
        <v>-478.0073406957521</v>
      </c>
      <c r="F25" s="3" t="s">
        <v>46</v>
      </c>
      <c r="G25" s="10" t="str">
        <f t="shared" si="4"/>
        <v>24796.817</v>
      </c>
      <c r="H25" s="8">
        <f t="shared" si="5"/>
        <v>-478</v>
      </c>
      <c r="I25" s="48" t="s">
        <v>109</v>
      </c>
      <c r="J25" s="49" t="s">
        <v>110</v>
      </c>
      <c r="K25" s="48">
        <v>-478</v>
      </c>
      <c r="L25" s="48" t="s">
        <v>111</v>
      </c>
      <c r="M25" s="49" t="s">
        <v>68</v>
      </c>
      <c r="N25" s="49"/>
      <c r="O25" s="50" t="s">
        <v>69</v>
      </c>
      <c r="P25" s="50" t="s">
        <v>70</v>
      </c>
    </row>
    <row r="26" spans="1:16" ht="12.75" customHeight="1" thickBot="1">
      <c r="A26" s="8" t="str">
        <f t="shared" si="0"/>
        <v> CRAC 24 </v>
      </c>
      <c r="B26" s="3" t="str">
        <f t="shared" si="1"/>
        <v>I</v>
      </c>
      <c r="C26" s="8">
        <f t="shared" si="2"/>
        <v>24796.939</v>
      </c>
      <c r="D26" s="10" t="str">
        <f t="shared" si="3"/>
        <v>vis</v>
      </c>
      <c r="E26" s="47">
        <f>VLOOKUP(C26,A!C$21:E$973,3,FALSE)</f>
        <v>-478.0042349776159</v>
      </c>
      <c r="F26" s="3" t="s">
        <v>46</v>
      </c>
      <c r="G26" s="10" t="str">
        <f t="shared" si="4"/>
        <v>24796.939</v>
      </c>
      <c r="H26" s="8">
        <f t="shared" si="5"/>
        <v>-478</v>
      </c>
      <c r="I26" s="48" t="s">
        <v>112</v>
      </c>
      <c r="J26" s="49" t="s">
        <v>113</v>
      </c>
      <c r="K26" s="48">
        <v>-478</v>
      </c>
      <c r="L26" s="48" t="s">
        <v>114</v>
      </c>
      <c r="M26" s="49" t="s">
        <v>68</v>
      </c>
      <c r="N26" s="49"/>
      <c r="O26" s="50" t="s">
        <v>105</v>
      </c>
      <c r="P26" s="50" t="s">
        <v>70</v>
      </c>
    </row>
    <row r="27" spans="1:16" ht="12.75" customHeight="1" thickBot="1">
      <c r="A27" s="8" t="str">
        <f t="shared" si="0"/>
        <v> AA 7.95 </v>
      </c>
      <c r="B27" s="3" t="str">
        <f t="shared" si="1"/>
        <v>I</v>
      </c>
      <c r="C27" s="8">
        <f t="shared" si="2"/>
        <v>24836.366</v>
      </c>
      <c r="D27" s="10" t="str">
        <f t="shared" si="3"/>
        <v>vis</v>
      </c>
      <c r="E27" s="47">
        <f>VLOOKUP(C27,A!C$21:E$973,3,FALSE)</f>
        <v>-477.0005534287891</v>
      </c>
      <c r="F27" s="3" t="s">
        <v>46</v>
      </c>
      <c r="G27" s="10" t="str">
        <f t="shared" si="4"/>
        <v>24836.366</v>
      </c>
      <c r="H27" s="8">
        <f t="shared" si="5"/>
        <v>-477</v>
      </c>
      <c r="I27" s="48" t="s">
        <v>115</v>
      </c>
      <c r="J27" s="49" t="s">
        <v>116</v>
      </c>
      <c r="K27" s="48">
        <v>-477</v>
      </c>
      <c r="L27" s="48" t="s">
        <v>117</v>
      </c>
      <c r="M27" s="49" t="s">
        <v>68</v>
      </c>
      <c r="N27" s="49"/>
      <c r="O27" s="50" t="s">
        <v>105</v>
      </c>
      <c r="P27" s="50" t="s">
        <v>118</v>
      </c>
    </row>
    <row r="28" spans="1:16" ht="12.75" customHeight="1" thickBot="1">
      <c r="A28" s="8" t="str">
        <f t="shared" si="0"/>
        <v> CRAC 24 </v>
      </c>
      <c r="B28" s="3" t="str">
        <f t="shared" si="1"/>
        <v>I</v>
      </c>
      <c r="C28" s="8">
        <f t="shared" si="2"/>
        <v>24914.858</v>
      </c>
      <c r="D28" s="10" t="str">
        <f t="shared" si="3"/>
        <v>vis</v>
      </c>
      <c r="E28" s="47">
        <f>VLOOKUP(C28,A!C$21:E$973,3,FALSE)</f>
        <v>-475.0024056587202</v>
      </c>
      <c r="F28" s="3" t="s">
        <v>46</v>
      </c>
      <c r="G28" s="10" t="str">
        <f t="shared" si="4"/>
        <v>24914.858</v>
      </c>
      <c r="H28" s="8">
        <f t="shared" si="5"/>
        <v>-475</v>
      </c>
      <c r="I28" s="48" t="s">
        <v>119</v>
      </c>
      <c r="J28" s="49" t="s">
        <v>120</v>
      </c>
      <c r="K28" s="48">
        <v>-475</v>
      </c>
      <c r="L28" s="48" t="s">
        <v>121</v>
      </c>
      <c r="M28" s="49" t="s">
        <v>68</v>
      </c>
      <c r="N28" s="49"/>
      <c r="O28" s="50" t="s">
        <v>86</v>
      </c>
      <c r="P28" s="50" t="s">
        <v>70</v>
      </c>
    </row>
    <row r="29" spans="1:16" ht="12.75" customHeight="1" thickBot="1">
      <c r="A29" s="8" t="str">
        <f t="shared" si="0"/>
        <v> AN 234.91 </v>
      </c>
      <c r="B29" s="3" t="str">
        <f t="shared" si="1"/>
        <v>I</v>
      </c>
      <c r="C29" s="8">
        <f t="shared" si="2"/>
        <v>24954.244</v>
      </c>
      <c r="D29" s="10" t="str">
        <f t="shared" si="3"/>
        <v>vis</v>
      </c>
      <c r="E29" s="47">
        <f>VLOOKUP(C29,A!C$21:E$973,3,FALSE)</f>
        <v>-473.9997678348409</v>
      </c>
      <c r="F29" s="3" t="s">
        <v>46</v>
      </c>
      <c r="G29" s="10" t="str">
        <f t="shared" si="4"/>
        <v>24954.244</v>
      </c>
      <c r="H29" s="8">
        <f t="shared" si="5"/>
        <v>-474</v>
      </c>
      <c r="I29" s="48" t="s">
        <v>122</v>
      </c>
      <c r="J29" s="49" t="s">
        <v>123</v>
      </c>
      <c r="K29" s="48">
        <v>-474</v>
      </c>
      <c r="L29" s="48" t="s">
        <v>124</v>
      </c>
      <c r="M29" s="49" t="s">
        <v>68</v>
      </c>
      <c r="N29" s="49"/>
      <c r="O29" s="50" t="s">
        <v>81</v>
      </c>
      <c r="P29" s="50" t="s">
        <v>125</v>
      </c>
    </row>
    <row r="30" spans="1:16" ht="12.75" customHeight="1" thickBot="1">
      <c r="A30" s="8" t="str">
        <f t="shared" si="0"/>
        <v> MVS 132 </v>
      </c>
      <c r="B30" s="3" t="str">
        <f t="shared" si="1"/>
        <v>I</v>
      </c>
      <c r="C30" s="8">
        <f t="shared" si="2"/>
        <v>25503.594</v>
      </c>
      <c r="D30" s="10" t="str">
        <f t="shared" si="3"/>
        <v>vis</v>
      </c>
      <c r="E30" s="47">
        <f>VLOOKUP(C30,A!C$21:E$973,3,FALSE)</f>
        <v>-460.0151263747257</v>
      </c>
      <c r="F30" s="3" t="s">
        <v>46</v>
      </c>
      <c r="G30" s="10" t="str">
        <f t="shared" si="4"/>
        <v>25503.594</v>
      </c>
      <c r="H30" s="8">
        <f t="shared" si="5"/>
        <v>-460</v>
      </c>
      <c r="I30" s="48" t="s">
        <v>126</v>
      </c>
      <c r="J30" s="49" t="s">
        <v>127</v>
      </c>
      <c r="K30" s="48">
        <v>-460</v>
      </c>
      <c r="L30" s="48" t="s">
        <v>128</v>
      </c>
      <c r="M30" s="49" t="s">
        <v>57</v>
      </c>
      <c r="N30" s="49"/>
      <c r="O30" s="50" t="s">
        <v>129</v>
      </c>
      <c r="P30" s="50" t="s">
        <v>130</v>
      </c>
    </row>
    <row r="31" spans="1:16" ht="12.75" customHeight="1" thickBot="1">
      <c r="A31" s="8" t="str">
        <f t="shared" si="0"/>
        <v> AN 255.182 </v>
      </c>
      <c r="B31" s="3" t="str">
        <f t="shared" si="1"/>
        <v>I</v>
      </c>
      <c r="C31" s="8">
        <f t="shared" si="2"/>
        <v>25543.507</v>
      </c>
      <c r="D31" s="10" t="str">
        <f t="shared" si="3"/>
        <v>vis</v>
      </c>
      <c r="E31" s="47">
        <f>VLOOKUP(C31,A!C$21:E$973,3,FALSE)</f>
        <v>-458.9990728667661</v>
      </c>
      <c r="F31" s="3" t="s">
        <v>46</v>
      </c>
      <c r="G31" s="10" t="str">
        <f t="shared" si="4"/>
        <v>25543.507</v>
      </c>
      <c r="H31" s="8">
        <f t="shared" si="5"/>
        <v>-459</v>
      </c>
      <c r="I31" s="48" t="s">
        <v>131</v>
      </c>
      <c r="J31" s="49" t="s">
        <v>132</v>
      </c>
      <c r="K31" s="48">
        <v>-459</v>
      </c>
      <c r="L31" s="48" t="s">
        <v>133</v>
      </c>
      <c r="M31" s="49" t="s">
        <v>57</v>
      </c>
      <c r="N31" s="49"/>
      <c r="O31" s="50" t="s">
        <v>134</v>
      </c>
      <c r="P31" s="50" t="s">
        <v>135</v>
      </c>
    </row>
    <row r="32" spans="1:16" ht="12.75" customHeight="1" thickBot="1">
      <c r="A32" s="8" t="str">
        <f t="shared" si="0"/>
        <v> MVS 132 </v>
      </c>
      <c r="B32" s="3" t="str">
        <f t="shared" si="1"/>
        <v>I</v>
      </c>
      <c r="C32" s="8">
        <f t="shared" si="2"/>
        <v>25622.354</v>
      </c>
      <c r="D32" s="10" t="str">
        <f t="shared" si="3"/>
        <v>vis</v>
      </c>
      <c r="E32" s="47">
        <f>VLOOKUP(C32,A!C$21:E$973,3,FALSE)</f>
        <v>-456.99188796605495</v>
      </c>
      <c r="F32" s="3" t="s">
        <v>46</v>
      </c>
      <c r="G32" s="10" t="str">
        <f t="shared" si="4"/>
        <v>25622.354</v>
      </c>
      <c r="H32" s="8">
        <f t="shared" si="5"/>
        <v>-457</v>
      </c>
      <c r="I32" s="48" t="s">
        <v>136</v>
      </c>
      <c r="J32" s="49" t="s">
        <v>137</v>
      </c>
      <c r="K32" s="48">
        <v>-457</v>
      </c>
      <c r="L32" s="48" t="s">
        <v>138</v>
      </c>
      <c r="M32" s="49" t="s">
        <v>57</v>
      </c>
      <c r="N32" s="49"/>
      <c r="O32" s="50" t="s">
        <v>129</v>
      </c>
      <c r="P32" s="50" t="s">
        <v>130</v>
      </c>
    </row>
    <row r="33" spans="1:16" ht="12.75" customHeight="1" thickBot="1">
      <c r="A33" s="8" t="str">
        <f t="shared" si="0"/>
        <v> AN 255.182 </v>
      </c>
      <c r="B33" s="3" t="str">
        <f t="shared" si="1"/>
        <v>I</v>
      </c>
      <c r="C33" s="8">
        <f t="shared" si="2"/>
        <v>27153.345</v>
      </c>
      <c r="D33" s="10" t="str">
        <f t="shared" si="3"/>
        <v>vis</v>
      </c>
      <c r="E33" s="47">
        <f>VLOOKUP(C33,A!C$21:E$973,3,FALSE)</f>
        <v>-418.0179001374152</v>
      </c>
      <c r="F33" s="3" t="s">
        <v>46</v>
      </c>
      <c r="G33" s="10" t="str">
        <f t="shared" si="4"/>
        <v>27153.345</v>
      </c>
      <c r="H33" s="8">
        <f t="shared" si="5"/>
        <v>-418</v>
      </c>
      <c r="I33" s="48" t="s">
        <v>139</v>
      </c>
      <c r="J33" s="49" t="s">
        <v>140</v>
      </c>
      <c r="K33" s="48">
        <v>-418</v>
      </c>
      <c r="L33" s="48" t="s">
        <v>141</v>
      </c>
      <c r="M33" s="49" t="s">
        <v>57</v>
      </c>
      <c r="N33" s="49"/>
      <c r="O33" s="50" t="s">
        <v>134</v>
      </c>
      <c r="P33" s="50" t="s">
        <v>135</v>
      </c>
    </row>
    <row r="34" spans="1:16" ht="12.75" customHeight="1" thickBot="1">
      <c r="A34" s="8" t="str">
        <f t="shared" si="0"/>
        <v> AA 7.92 </v>
      </c>
      <c r="B34" s="3" t="str">
        <f t="shared" si="1"/>
        <v>I</v>
      </c>
      <c r="C34" s="8">
        <f t="shared" si="2"/>
        <v>27429.078</v>
      </c>
      <c r="D34" s="10" t="str">
        <f t="shared" si="3"/>
        <v>vis</v>
      </c>
      <c r="E34" s="47">
        <f>VLOOKUP(C34,A!C$21:E$973,3,FALSE)</f>
        <v>-410.998646212373</v>
      </c>
      <c r="F34" s="3" t="s">
        <v>46</v>
      </c>
      <c r="G34" s="10" t="str">
        <f t="shared" si="4"/>
        <v>27429.078</v>
      </c>
      <c r="H34" s="8">
        <f t="shared" si="5"/>
        <v>-411</v>
      </c>
      <c r="I34" s="48" t="s">
        <v>142</v>
      </c>
      <c r="J34" s="49" t="s">
        <v>143</v>
      </c>
      <c r="K34" s="48">
        <v>-411</v>
      </c>
      <c r="L34" s="48" t="s">
        <v>144</v>
      </c>
      <c r="M34" s="49" t="s">
        <v>68</v>
      </c>
      <c r="N34" s="49"/>
      <c r="O34" s="50" t="s">
        <v>69</v>
      </c>
      <c r="P34" s="50" t="s">
        <v>145</v>
      </c>
    </row>
    <row r="35" spans="1:16" ht="12.75" customHeight="1" thickBot="1">
      <c r="A35" s="8" t="str">
        <f t="shared" si="0"/>
        <v> AA 7.91 </v>
      </c>
      <c r="B35" s="3" t="str">
        <f t="shared" si="1"/>
        <v>I</v>
      </c>
      <c r="C35" s="8">
        <f t="shared" si="2"/>
        <v>28450.37</v>
      </c>
      <c r="D35" s="10" t="str">
        <f t="shared" si="3"/>
        <v>vis</v>
      </c>
      <c r="E35" s="47">
        <f>VLOOKUP(C35,A!C$21:E$973,3,FALSE)</f>
        <v>-384.99991599287006</v>
      </c>
      <c r="F35" s="3" t="s">
        <v>46</v>
      </c>
      <c r="G35" s="10" t="str">
        <f t="shared" si="4"/>
        <v>28450.37</v>
      </c>
      <c r="H35" s="8">
        <f t="shared" si="5"/>
        <v>-385</v>
      </c>
      <c r="I35" s="48" t="s">
        <v>146</v>
      </c>
      <c r="J35" s="49" t="s">
        <v>147</v>
      </c>
      <c r="K35" s="48">
        <v>-385</v>
      </c>
      <c r="L35" s="48" t="s">
        <v>148</v>
      </c>
      <c r="M35" s="49" t="s">
        <v>47</v>
      </c>
      <c r="N35" s="49"/>
      <c r="O35" s="50" t="s">
        <v>149</v>
      </c>
      <c r="P35" s="50" t="s">
        <v>150</v>
      </c>
    </row>
    <row r="36" spans="1:16" ht="12.75" customHeight="1" thickBot="1">
      <c r="A36" s="8" t="str">
        <f t="shared" si="0"/>
        <v> WARC 22 </v>
      </c>
      <c r="B36" s="3" t="str">
        <f t="shared" si="1"/>
        <v>I</v>
      </c>
      <c r="C36" s="8">
        <f t="shared" si="2"/>
        <v>29982.36</v>
      </c>
      <c r="D36" s="10" t="str">
        <f t="shared" si="3"/>
        <v>vis</v>
      </c>
      <c r="E36" s="47">
        <f>VLOOKUP(C36,A!C$21:E$973,3,FALSE)</f>
        <v>-346.0004969149017</v>
      </c>
      <c r="F36" s="3" t="s">
        <v>46</v>
      </c>
      <c r="G36" s="10" t="str">
        <f t="shared" si="4"/>
        <v>29982.36</v>
      </c>
      <c r="H36" s="8">
        <f t="shared" si="5"/>
        <v>-346</v>
      </c>
      <c r="I36" s="48" t="s">
        <v>151</v>
      </c>
      <c r="J36" s="49" t="s">
        <v>152</v>
      </c>
      <c r="K36" s="48">
        <v>-346</v>
      </c>
      <c r="L36" s="48" t="s">
        <v>153</v>
      </c>
      <c r="M36" s="49" t="s">
        <v>68</v>
      </c>
      <c r="N36" s="49"/>
      <c r="O36" s="50" t="s">
        <v>69</v>
      </c>
      <c r="P36" s="50" t="s">
        <v>154</v>
      </c>
    </row>
    <row r="37" spans="1:16" ht="12.75" customHeight="1" thickBot="1">
      <c r="A37" s="8" t="str">
        <f t="shared" si="0"/>
        <v> AJ 56.125 </v>
      </c>
      <c r="B37" s="3" t="str">
        <f t="shared" si="1"/>
        <v>I</v>
      </c>
      <c r="C37" s="8">
        <f t="shared" si="2"/>
        <v>29982.37</v>
      </c>
      <c r="D37" s="10" t="str">
        <f t="shared" si="3"/>
        <v>vis</v>
      </c>
      <c r="E37" s="47">
        <f>VLOOKUP(C37,A!C$21:E$973,3,FALSE)</f>
        <v>-346.00024234784144</v>
      </c>
      <c r="F37" s="3" t="s">
        <v>46</v>
      </c>
      <c r="G37" s="10" t="str">
        <f t="shared" si="4"/>
        <v>29982.37</v>
      </c>
      <c r="H37" s="8">
        <f t="shared" si="5"/>
        <v>-346</v>
      </c>
      <c r="I37" s="48" t="s">
        <v>155</v>
      </c>
      <c r="J37" s="49" t="s">
        <v>156</v>
      </c>
      <c r="K37" s="48">
        <v>-346</v>
      </c>
      <c r="L37" s="48" t="s">
        <v>62</v>
      </c>
      <c r="M37" s="49" t="s">
        <v>47</v>
      </c>
      <c r="N37" s="49"/>
      <c r="O37" s="50" t="s">
        <v>157</v>
      </c>
      <c r="P37" s="50" t="s">
        <v>158</v>
      </c>
    </row>
    <row r="38" spans="1:16" ht="12.75" customHeight="1" thickBot="1">
      <c r="A38" s="8" t="str">
        <f t="shared" si="0"/>
        <v> MVS 132 </v>
      </c>
      <c r="B38" s="3" t="str">
        <f t="shared" si="1"/>
        <v>I</v>
      </c>
      <c r="C38" s="8">
        <f t="shared" si="2"/>
        <v>30257.624</v>
      </c>
      <c r="D38" s="10" t="str">
        <f t="shared" si="3"/>
        <v>vis</v>
      </c>
      <c r="E38" s="47">
        <f>VLOOKUP(C38,A!C$21:E$973,3,FALSE)</f>
        <v>-338.99318218498973</v>
      </c>
      <c r="F38" s="3" t="s">
        <v>46</v>
      </c>
      <c r="G38" s="10" t="str">
        <f t="shared" si="4"/>
        <v>30257.624</v>
      </c>
      <c r="H38" s="8">
        <f t="shared" si="5"/>
        <v>-339</v>
      </c>
      <c r="I38" s="48" t="s">
        <v>159</v>
      </c>
      <c r="J38" s="49" t="s">
        <v>160</v>
      </c>
      <c r="K38" s="48">
        <v>-339</v>
      </c>
      <c r="L38" s="48" t="s">
        <v>161</v>
      </c>
      <c r="M38" s="49" t="s">
        <v>57</v>
      </c>
      <c r="N38" s="49"/>
      <c r="O38" s="50" t="s">
        <v>129</v>
      </c>
      <c r="P38" s="50" t="s">
        <v>130</v>
      </c>
    </row>
    <row r="39" spans="1:16" ht="12.75" customHeight="1" thickBot="1">
      <c r="A39" s="8" t="str">
        <f t="shared" si="0"/>
        <v> MVS 132 </v>
      </c>
      <c r="B39" s="3" t="str">
        <f t="shared" si="1"/>
        <v>I</v>
      </c>
      <c r="C39" s="8">
        <f t="shared" si="2"/>
        <v>30375.325</v>
      </c>
      <c r="D39" s="10" t="str">
        <f t="shared" si="3"/>
        <v>vis</v>
      </c>
      <c r="E39" s="47">
        <f>VLOOKUP(C39,A!C$21:E$973,3,FALSE)</f>
        <v>-335.9969024280096</v>
      </c>
      <c r="F39" s="3" t="s">
        <v>46</v>
      </c>
      <c r="G39" s="10" t="str">
        <f t="shared" si="4"/>
        <v>30375.325</v>
      </c>
      <c r="H39" s="8">
        <f t="shared" si="5"/>
        <v>-336</v>
      </c>
      <c r="I39" s="48" t="s">
        <v>162</v>
      </c>
      <c r="J39" s="49" t="s">
        <v>163</v>
      </c>
      <c r="K39" s="48">
        <v>-336</v>
      </c>
      <c r="L39" s="48" t="s">
        <v>164</v>
      </c>
      <c r="M39" s="49" t="s">
        <v>57</v>
      </c>
      <c r="N39" s="49"/>
      <c r="O39" s="50" t="s">
        <v>129</v>
      </c>
      <c r="P39" s="50" t="s">
        <v>130</v>
      </c>
    </row>
    <row r="40" spans="1:16" ht="12.75" customHeight="1" thickBot="1">
      <c r="A40" s="8" t="str">
        <f t="shared" si="0"/>
        <v> MVS 132 </v>
      </c>
      <c r="B40" s="3" t="str">
        <f t="shared" si="1"/>
        <v>I</v>
      </c>
      <c r="C40" s="8">
        <f t="shared" si="2"/>
        <v>30375.361</v>
      </c>
      <c r="D40" s="10" t="str">
        <f t="shared" si="3"/>
        <v>vis</v>
      </c>
      <c r="E40" s="47">
        <f>VLOOKUP(C40,A!C$21:E$973,3,FALSE)</f>
        <v>-335.99598598659236</v>
      </c>
      <c r="F40" s="3" t="s">
        <v>46</v>
      </c>
      <c r="G40" s="10" t="str">
        <f t="shared" si="4"/>
        <v>30375.361</v>
      </c>
      <c r="H40" s="8">
        <f t="shared" si="5"/>
        <v>-336</v>
      </c>
      <c r="I40" s="48" t="s">
        <v>165</v>
      </c>
      <c r="J40" s="49" t="s">
        <v>166</v>
      </c>
      <c r="K40" s="48">
        <v>-336</v>
      </c>
      <c r="L40" s="48" t="s">
        <v>167</v>
      </c>
      <c r="M40" s="49" t="s">
        <v>57</v>
      </c>
      <c r="N40" s="49"/>
      <c r="O40" s="50" t="s">
        <v>129</v>
      </c>
      <c r="P40" s="50" t="s">
        <v>130</v>
      </c>
    </row>
    <row r="41" spans="1:16" ht="12.75" customHeight="1" thickBot="1">
      <c r="A41" s="8" t="str">
        <f t="shared" si="0"/>
        <v> MVS 132 </v>
      </c>
      <c r="B41" s="3" t="str">
        <f t="shared" si="1"/>
        <v>I</v>
      </c>
      <c r="C41" s="8">
        <f t="shared" si="2"/>
        <v>31003.531</v>
      </c>
      <c r="D41" s="10" t="str">
        <f t="shared" si="3"/>
        <v>vis</v>
      </c>
      <c r="E41" s="47">
        <f>VLOOKUP(C41,A!C$21:E$973,3,FALSE)</f>
        <v>-320.00484695682894</v>
      </c>
      <c r="F41" s="3" t="s">
        <v>46</v>
      </c>
      <c r="G41" s="10" t="str">
        <f t="shared" si="4"/>
        <v>31003.531</v>
      </c>
      <c r="H41" s="8">
        <f t="shared" si="5"/>
        <v>-320</v>
      </c>
      <c r="I41" s="48" t="s">
        <v>168</v>
      </c>
      <c r="J41" s="49" t="s">
        <v>169</v>
      </c>
      <c r="K41" s="48">
        <v>-320</v>
      </c>
      <c r="L41" s="48" t="s">
        <v>170</v>
      </c>
      <c r="M41" s="49" t="s">
        <v>57</v>
      </c>
      <c r="N41" s="49"/>
      <c r="O41" s="50" t="s">
        <v>129</v>
      </c>
      <c r="P41" s="50" t="s">
        <v>130</v>
      </c>
    </row>
    <row r="42" spans="1:16" ht="12.75" customHeight="1" thickBot="1">
      <c r="A42" s="8" t="str">
        <f t="shared" si="0"/>
        <v> MVS 132 </v>
      </c>
      <c r="B42" s="3" t="str">
        <f t="shared" si="1"/>
        <v>I</v>
      </c>
      <c r="C42" s="8">
        <f t="shared" si="2"/>
        <v>31003.557</v>
      </c>
      <c r="D42" s="10" t="str">
        <f t="shared" si="3"/>
        <v>vis</v>
      </c>
      <c r="E42" s="47">
        <f>VLOOKUP(C42,A!C$21:E$973,3,FALSE)</f>
        <v>-320.004185082472</v>
      </c>
      <c r="F42" s="3" t="s">
        <v>46</v>
      </c>
      <c r="G42" s="10" t="str">
        <f t="shared" si="4"/>
        <v>31003.557</v>
      </c>
      <c r="H42" s="8">
        <f t="shared" si="5"/>
        <v>-320</v>
      </c>
      <c r="I42" s="48" t="s">
        <v>171</v>
      </c>
      <c r="J42" s="49" t="s">
        <v>172</v>
      </c>
      <c r="K42" s="48">
        <v>-320</v>
      </c>
      <c r="L42" s="48" t="s">
        <v>173</v>
      </c>
      <c r="M42" s="49" t="s">
        <v>57</v>
      </c>
      <c r="N42" s="49"/>
      <c r="O42" s="50" t="s">
        <v>129</v>
      </c>
      <c r="P42" s="50" t="s">
        <v>130</v>
      </c>
    </row>
    <row r="43" spans="1:16" ht="12.75" customHeight="1" thickBot="1">
      <c r="A43" s="8" t="str">
        <f t="shared" si="0"/>
        <v> MVS 132 </v>
      </c>
      <c r="B43" s="3" t="str">
        <f t="shared" si="1"/>
        <v>I</v>
      </c>
      <c r="C43" s="8">
        <f t="shared" si="2"/>
        <v>31710.613</v>
      </c>
      <c r="D43" s="10" t="str">
        <f t="shared" si="3"/>
        <v>vis</v>
      </c>
      <c r="E43" s="47">
        <f>VLOOKUP(C43,A!C$21:E$973,3,FALSE)</f>
        <v>-302.004868340462</v>
      </c>
      <c r="F43" s="3" t="s">
        <v>46</v>
      </c>
      <c r="G43" s="10" t="str">
        <f t="shared" si="4"/>
        <v>31710.613</v>
      </c>
      <c r="H43" s="8">
        <f t="shared" si="5"/>
        <v>-302</v>
      </c>
      <c r="I43" s="48" t="s">
        <v>174</v>
      </c>
      <c r="J43" s="49" t="s">
        <v>175</v>
      </c>
      <c r="K43" s="48">
        <v>-302</v>
      </c>
      <c r="L43" s="48" t="s">
        <v>176</v>
      </c>
      <c r="M43" s="49" t="s">
        <v>57</v>
      </c>
      <c r="N43" s="49"/>
      <c r="O43" s="50" t="s">
        <v>129</v>
      </c>
      <c r="P43" s="50" t="s">
        <v>130</v>
      </c>
    </row>
    <row r="44" spans="1:16" ht="12.75" customHeight="1" thickBot="1">
      <c r="A44" s="8" t="str">
        <f t="shared" si="0"/>
        <v> MVS 132 </v>
      </c>
      <c r="B44" s="3" t="str">
        <f t="shared" si="1"/>
        <v>I</v>
      </c>
      <c r="C44" s="8">
        <f t="shared" si="2"/>
        <v>32889.452</v>
      </c>
      <c r="D44" s="10" t="str">
        <f t="shared" si="3"/>
        <v>vis</v>
      </c>
      <c r="E44" s="47">
        <f>VLOOKUP(C44,A!C$21:E$973,3,FALSE)</f>
        <v>-271.99551045532377</v>
      </c>
      <c r="F44" s="3" t="s">
        <v>46</v>
      </c>
      <c r="G44" s="10" t="str">
        <f t="shared" si="4"/>
        <v>32889.452</v>
      </c>
      <c r="H44" s="8">
        <f t="shared" si="5"/>
        <v>-272</v>
      </c>
      <c r="I44" s="48" t="s">
        <v>177</v>
      </c>
      <c r="J44" s="49" t="s">
        <v>178</v>
      </c>
      <c r="K44" s="48">
        <v>-272</v>
      </c>
      <c r="L44" s="48" t="s">
        <v>179</v>
      </c>
      <c r="M44" s="49" t="s">
        <v>57</v>
      </c>
      <c r="N44" s="49"/>
      <c r="O44" s="50" t="s">
        <v>129</v>
      </c>
      <c r="P44" s="50" t="s">
        <v>130</v>
      </c>
    </row>
    <row r="45" spans="1:16" ht="12.75" customHeight="1" thickBot="1">
      <c r="A45" s="8" t="str">
        <f t="shared" si="0"/>
        <v> MVS 132 </v>
      </c>
      <c r="B45" s="3" t="str">
        <f t="shared" si="1"/>
        <v>I</v>
      </c>
      <c r="C45" s="8">
        <f t="shared" si="2"/>
        <v>32889.482</v>
      </c>
      <c r="D45" s="10" t="str">
        <f t="shared" si="3"/>
        <v>vis</v>
      </c>
      <c r="E45" s="47">
        <f>VLOOKUP(C45,A!C$21:E$973,3,FALSE)</f>
        <v>-271.99474675414257</v>
      </c>
      <c r="F45" s="3" t="s">
        <v>46</v>
      </c>
      <c r="G45" s="10" t="str">
        <f t="shared" si="4"/>
        <v>32889.482</v>
      </c>
      <c r="H45" s="8">
        <f t="shared" si="5"/>
        <v>-272</v>
      </c>
      <c r="I45" s="48" t="s">
        <v>180</v>
      </c>
      <c r="J45" s="49" t="s">
        <v>181</v>
      </c>
      <c r="K45" s="48">
        <v>-272</v>
      </c>
      <c r="L45" s="48" t="s">
        <v>182</v>
      </c>
      <c r="M45" s="49" t="s">
        <v>57</v>
      </c>
      <c r="N45" s="49"/>
      <c r="O45" s="50" t="s">
        <v>129</v>
      </c>
      <c r="P45" s="50" t="s">
        <v>130</v>
      </c>
    </row>
    <row r="46" spans="1:16" ht="12.75" customHeight="1" thickBot="1">
      <c r="A46" s="8" t="str">
        <f t="shared" si="0"/>
        <v> MVS 132 </v>
      </c>
      <c r="B46" s="3" t="str">
        <f t="shared" si="1"/>
        <v>I</v>
      </c>
      <c r="C46" s="8">
        <f t="shared" si="2"/>
        <v>32968.292</v>
      </c>
      <c r="D46" s="10" t="str">
        <f t="shared" si="3"/>
        <v>vis</v>
      </c>
      <c r="E46" s="47">
        <f>VLOOKUP(C46,A!C$21:E$973,3,FALSE)</f>
        <v>-269.9885037515547</v>
      </c>
      <c r="F46" s="3" t="s">
        <v>46</v>
      </c>
      <c r="G46" s="10" t="str">
        <f t="shared" si="4"/>
        <v>32968.292</v>
      </c>
      <c r="H46" s="8">
        <f t="shared" si="5"/>
        <v>-270</v>
      </c>
      <c r="I46" s="48" t="s">
        <v>183</v>
      </c>
      <c r="J46" s="49" t="s">
        <v>184</v>
      </c>
      <c r="K46" s="48">
        <v>-270</v>
      </c>
      <c r="L46" s="48" t="s">
        <v>185</v>
      </c>
      <c r="M46" s="49" t="s">
        <v>57</v>
      </c>
      <c r="N46" s="49"/>
      <c r="O46" s="50" t="s">
        <v>129</v>
      </c>
      <c r="P46" s="50" t="s">
        <v>130</v>
      </c>
    </row>
    <row r="47" spans="1:16" ht="12.75" customHeight="1" thickBot="1">
      <c r="A47" s="8" t="str">
        <f t="shared" si="0"/>
        <v> MVS 132 </v>
      </c>
      <c r="B47" s="3" t="str">
        <f t="shared" si="1"/>
        <v>I</v>
      </c>
      <c r="C47" s="8">
        <f t="shared" si="2"/>
        <v>33164.603</v>
      </c>
      <c r="D47" s="10" t="str">
        <f t="shared" si="3"/>
        <v>vis</v>
      </c>
      <c r="E47" s="47">
        <f>VLOOKUP(C47,A!C$21:E$973,3,FALSE)</f>
        <v>-264.99107233319353</v>
      </c>
      <c r="F47" s="3" t="s">
        <v>46</v>
      </c>
      <c r="G47" s="10" t="str">
        <f t="shared" si="4"/>
        <v>33164.603</v>
      </c>
      <c r="H47" s="8">
        <f t="shared" si="5"/>
        <v>-265</v>
      </c>
      <c r="I47" s="48" t="s">
        <v>186</v>
      </c>
      <c r="J47" s="49" t="s">
        <v>187</v>
      </c>
      <c r="K47" s="48">
        <v>-265</v>
      </c>
      <c r="L47" s="48" t="s">
        <v>188</v>
      </c>
      <c r="M47" s="49" t="s">
        <v>57</v>
      </c>
      <c r="N47" s="49"/>
      <c r="O47" s="50" t="s">
        <v>129</v>
      </c>
      <c r="P47" s="50" t="s">
        <v>130</v>
      </c>
    </row>
    <row r="48" spans="1:16" ht="12.75" customHeight="1" thickBot="1">
      <c r="A48" s="8" t="str">
        <f t="shared" si="0"/>
        <v>BAVM 154 </v>
      </c>
      <c r="B48" s="3" t="str">
        <f t="shared" si="1"/>
        <v>I</v>
      </c>
      <c r="C48" s="8">
        <f t="shared" si="2"/>
        <v>51901.969</v>
      </c>
      <c r="D48" s="10" t="str">
        <f t="shared" si="3"/>
        <v>vis</v>
      </c>
      <c r="E48" s="47">
        <f>VLOOKUP(C48,A!C$21:E$973,3,FALSE)</f>
        <v>212.00054579177734</v>
      </c>
      <c r="F48" s="3" t="s">
        <v>46</v>
      </c>
      <c r="G48" s="10" t="str">
        <f t="shared" si="4"/>
        <v>51901.969</v>
      </c>
      <c r="H48" s="8">
        <f t="shared" si="5"/>
        <v>212</v>
      </c>
      <c r="I48" s="48" t="s">
        <v>196</v>
      </c>
      <c r="J48" s="49" t="s">
        <v>197</v>
      </c>
      <c r="K48" s="48">
        <v>212</v>
      </c>
      <c r="L48" s="48" t="s">
        <v>198</v>
      </c>
      <c r="M48" s="49" t="s">
        <v>68</v>
      </c>
      <c r="N48" s="49"/>
      <c r="O48" s="50" t="s">
        <v>199</v>
      </c>
      <c r="P48" s="51" t="s">
        <v>200</v>
      </c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</sheetData>
  <sheetProtection/>
  <hyperlinks>
    <hyperlink ref="A3" r:id="rId1" display="http://www.bav-astro.de/LkDB/index.php?lang=en&amp;sprache_dial=en"/>
    <hyperlink ref="P11" r:id="rId2" display="http://www.konkoly.hu/cgi-bin/IBVS?1665"/>
    <hyperlink ref="P48" r:id="rId3" display="http://www.bav-astro.de/sfs/BAVM_link.php?BAVMnr=154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2022-11-16T06:36:53Z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