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2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<sst xmlns="http://schemas.openxmlformats.org/spreadsheetml/2006/main" count="602" uniqueCount="304">
  <si>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</si>
  <si>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</si>
  <si>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</si>
  <si>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</si>
  <si>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</si>
  <si>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</si>
  <si>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</si>
  <si>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</si>
  <si>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</si>
  <si>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</si>
  <si>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</si>
  <si>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</si>
  <si>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</si>
  <si>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</si>
  <si>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</si>
  <si>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</si>
  <si>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</si>
  <si>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</si>
  <si>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</si>
  <si>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</si>
  <si>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</si>
  <si>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</si>
  <si>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</si>
  <si>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</si>
  <si>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</si>
  <si>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</si>
  <si>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</si>
  <si>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</si>
  <si>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</si>
  <si>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Bull.21</t>
  </si>
  <si>
    <t>B</t>
  </si>
  <si>
    <t>Locher K</t>
  </si>
  <si>
    <t>BBSAG Bull.24</t>
  </si>
  <si>
    <t>BBSAG Bull.26</t>
  </si>
  <si>
    <t>BBSAG Bull.30</t>
  </si>
  <si>
    <t>BBSAG Bull.53</t>
  </si>
  <si>
    <t>BBSAG Bull.57</t>
  </si>
  <si>
    <t>BBSAG Bull.58</t>
  </si>
  <si>
    <t>BBSAG Bull.59</t>
  </si>
  <si>
    <t>BBSAG Bull.65</t>
  </si>
  <si>
    <t>BBSAG Bull.81</t>
  </si>
  <si>
    <t>Paschke A</t>
  </si>
  <si>
    <t>BBSAG Bull.118</t>
  </si>
  <si>
    <t>Blaettler E</t>
  </si>
  <si>
    <t>BBSAG Bull.117</t>
  </si>
  <si>
    <t>II</t>
  </si>
  <si>
    <t>IBVS 5263</t>
  </si>
  <si>
    <t>I</t>
  </si>
  <si>
    <t>IBVS 5287</t>
  </si>
  <si>
    <t>IBVS 5502</t>
  </si>
  <si>
    <t>IBVS 5602</t>
  </si>
  <si>
    <t>AV Gem / GSC 0758-1475?</t>
  </si>
  <si>
    <t>EA/SD</t>
  </si>
  <si>
    <t>IBVS 5677</t>
  </si>
  <si>
    <t># of data points:</t>
  </si>
  <si>
    <t>IBVS 5731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</si>
  <si>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</si>
  <si>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</si>
  <si>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</si>
  <si>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</si>
  <si>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</si>
  <si>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</si>
  <si>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IBVS 5741</t>
  </si>
  <si>
    <t>IBVS 5781</t>
  </si>
  <si>
    <t>IBVS 5802</t>
  </si>
  <si>
    <t>Add cycle</t>
  </si>
  <si>
    <t>Old Cycle</t>
  </si>
  <si>
    <t>Start of linear fit &gt;&gt;&gt;&gt;&gt;&gt;&gt;&gt;&gt;&gt;&gt;&gt;&gt;&gt;&gt;&gt;&gt;&gt;&gt;&gt;&gt;</t>
  </si>
  <si>
    <t>IBVS 5918</t>
  </si>
  <si>
    <t>.0012</t>
  </si>
  <si>
    <t>IBVS 5959</t>
  </si>
  <si>
    <t>.0018</t>
  </si>
  <si>
    <t>IBVS 5992</t>
  </si>
  <si>
    <t>IBVS 6010</t>
  </si>
  <si>
    <t>.0042</t>
  </si>
  <si>
    <t>OEJV 0003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</si>
  <si>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</si>
  <si>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</si>
  <si>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</si>
  <si>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</si>
  <si>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</si>
  <si>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</si>
  <si>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</si>
  <si>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</si>
  <si>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</si>
  <si>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</si>
  <si>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</si>
  <si>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2415099.29 </t>
  </si>
  <si>
    <t> 20.03.1900 18:57 </t>
  </si>
  <si>
    <t> -0.01 </t>
  </si>
  <si>
    <t>P </t>
  </si>
  <si>
    <t> B.V.Kukarkin </t>
  </si>
  <si>
    <t> AAR 10.158 </t>
  </si>
  <si>
    <t>2420539.35 </t>
  </si>
  <si>
    <t> 10.02.1915 20:24 </t>
  </si>
  <si>
    <t> 0.02 </t>
  </si>
  <si>
    <t>2426034.323 </t>
  </si>
  <si>
    <t> 26.02.1930 19:45 </t>
  </si>
  <si>
    <t> -0.011 </t>
  </si>
  <si>
    <t> A.V.Nielsen </t>
  </si>
  <si>
    <t>2426056.336 </t>
  </si>
  <si>
    <t> 20.03.1930 20:03 </t>
  </si>
  <si>
    <t> 0.012 </t>
  </si>
  <si>
    <t>2427457.545 </t>
  </si>
  <si>
    <t> 20.01.1934 01:04 </t>
  </si>
  <si>
    <t> -0.017 </t>
  </si>
  <si>
    <t>2427716.534 </t>
  </si>
  <si>
    <t> 06.10.1934 00:48 </t>
  </si>
  <si>
    <t> -0.019 </t>
  </si>
  <si>
    <t>2427815.486 </t>
  </si>
  <si>
    <t> 12.01.1935 23:39 </t>
  </si>
  <si>
    <t> -0.021 </t>
  </si>
  <si>
    <t>2427837.491 </t>
  </si>
  <si>
    <t> 03.02.1935 23:47 </t>
  </si>
  <si>
    <t> -0.006 </t>
  </si>
  <si>
    <t>2427886.313 </t>
  </si>
  <si>
    <t> 24.03.1935 19:30 </t>
  </si>
  <si>
    <t> -0.050 </t>
  </si>
  <si>
    <t>2427886.357 </t>
  </si>
  <si>
    <t> 24.03.1935 20:34 </t>
  </si>
  <si>
    <t>2428211.337 </t>
  </si>
  <si>
    <t> 12.02.1936 20:05 </t>
  </si>
  <si>
    <t> 0.014 </t>
  </si>
  <si>
    <t>2428211.352 </t>
  </si>
  <si>
    <t> 12.02.1936 20:26 </t>
  </si>
  <si>
    <t> 0.029 </t>
  </si>
  <si>
    <t>2428212.527 </t>
  </si>
  <si>
    <t> 14.02.1936 00:38 </t>
  </si>
  <si>
    <t> -0.018 </t>
  </si>
  <si>
    <t>2428542.371 </t>
  </si>
  <si>
    <t> 08.01.1937 20:54 </t>
  </si>
  <si>
    <t> -0.020 </t>
  </si>
  <si>
    <t>2428542.389 </t>
  </si>
  <si>
    <t> 08.01.1937 21:20 </t>
  </si>
  <si>
    <t> -0.002 </t>
  </si>
  <si>
    <t>2428542.410 </t>
  </si>
  <si>
    <t> 08.01.1937 21:50 </t>
  </si>
  <si>
    <t> 0.019 </t>
  </si>
  <si>
    <t>2442453.352 </t>
  </si>
  <si>
    <t> 09.02.1975 20:26 </t>
  </si>
  <si>
    <t> 0.588 </t>
  </si>
  <si>
    <t>V </t>
  </si>
  <si>
    <t> R.Diethelm </t>
  </si>
  <si>
    <t> BBS 21 </t>
  </si>
  <si>
    <t>2442475.347 </t>
  </si>
  <si>
    <t> 03.03.1975 20:19 </t>
  </si>
  <si>
    <t> 0.593 </t>
  </si>
  <si>
    <t> K.Locher </t>
  </si>
  <si>
    <t>2442669.585 </t>
  </si>
  <si>
    <t> 14.09.1975 02:02 </t>
  </si>
  <si>
    <t> BBS 24 </t>
  </si>
  <si>
    <t>2442806.431 </t>
  </si>
  <si>
    <t> 28.01.1976 22:20 </t>
  </si>
  <si>
    <t> 0.609 </t>
  </si>
  <si>
    <t> BBS 26 </t>
  </si>
  <si>
    <t>2443044.642 </t>
  </si>
  <si>
    <t> 23.09.1976 03:24 </t>
  </si>
  <si>
    <t> 0.597 </t>
  </si>
  <si>
    <t> BBS 30 </t>
  </si>
  <si>
    <t>2444691.444 </t>
  </si>
  <si>
    <t> 27.03.1981 22:39 </t>
  </si>
  <si>
    <t> BBS 53 </t>
  </si>
  <si>
    <t>2444885.670 </t>
  </si>
  <si>
    <t> 08.10.1981 04:04 </t>
  </si>
  <si>
    <t> 0.592 </t>
  </si>
  <si>
    <t> BBS 57 </t>
  </si>
  <si>
    <t>2444989.532 </t>
  </si>
  <si>
    <t> 20.01.1982 00:46 </t>
  </si>
  <si>
    <t> 0.613 </t>
  </si>
  <si>
    <t> BBS 58 </t>
  </si>
  <si>
    <t>2445010.298 </t>
  </si>
  <si>
    <t> 09.02.1982 19:09 </t>
  </si>
  <si>
    <t> 0.611 </t>
  </si>
  <si>
    <t> BBS 59 </t>
  </si>
  <si>
    <t>2445385.333 </t>
  </si>
  <si>
    <t> 19.02.1983 19:59 </t>
  </si>
  <si>
    <t> 0.598 </t>
  </si>
  <si>
    <t> BBS 65 </t>
  </si>
  <si>
    <t>2446676.611 </t>
  </si>
  <si>
    <t> 03.09.1986 02:39 </t>
  </si>
  <si>
    <t> 0.587 </t>
  </si>
  <si>
    <t> BBS 81 </t>
  </si>
  <si>
    <t>2446769.465 </t>
  </si>
  <si>
    <t> 04.12.1986 23:09 </t>
  </si>
  <si>
    <t> 0.595 </t>
  </si>
  <si>
    <t> J.Borovicka </t>
  </si>
  <si>
    <t> BRNO 28 </t>
  </si>
  <si>
    <t>2446851.330 </t>
  </si>
  <si>
    <t> 24.02.1987 19:55 </t>
  </si>
  <si>
    <t> V.Wagner </t>
  </si>
  <si>
    <t> BRNO 30 </t>
  </si>
  <si>
    <t>2447557.432 </t>
  </si>
  <si>
    <t> 30.01.1989 22:22 </t>
  </si>
  <si>
    <t>2447557.435 </t>
  </si>
  <si>
    <t> 30.01.1989 22:26 </t>
  </si>
  <si>
    <t> J.Manek </t>
  </si>
  <si>
    <t>2447850.624 </t>
  </si>
  <si>
    <t> 20.11.1989 02:58 </t>
  </si>
  <si>
    <t> 0.589 </t>
  </si>
  <si>
    <t> A.Dedoch </t>
  </si>
  <si>
    <t>2450727.608 </t>
  </si>
  <si>
    <t> 06.10.1997 02:35 </t>
  </si>
  <si>
    <t> 0.576 </t>
  </si>
  <si>
    <t>E </t>
  </si>
  <si>
    <t>?</t>
  </si>
  <si>
    <t> A.Paschke </t>
  </si>
  <si>
    <t> BBS 118 </t>
  </si>
  <si>
    <t>2450844.286 </t>
  </si>
  <si>
    <t> 30.01.1998 18:51 </t>
  </si>
  <si>
    <t> 0.586 </t>
  </si>
  <si>
    <t> E.Blättler </t>
  </si>
  <si>
    <t> BBS 117 </t>
  </si>
  <si>
    <t>2451195.5077 </t>
  </si>
  <si>
    <t> 17.01.1999 00:11 </t>
  </si>
  <si>
    <t> 0.5822 </t>
  </si>
  <si>
    <t> M.Zejda </t>
  </si>
  <si>
    <t>IBVS 5263 </t>
  </si>
  <si>
    <t>2451608.4327 </t>
  </si>
  <si>
    <t> 04.03.2000 22:23 </t>
  </si>
  <si>
    <t> 0.5879 </t>
  </si>
  <si>
    <t>IBVS 5287 </t>
  </si>
  <si>
    <t>2452310.267 </t>
  </si>
  <si>
    <t> 04.02.2002 18:24 </t>
  </si>
  <si>
    <t> 0.582 </t>
  </si>
  <si>
    <t> BBS 127 </t>
  </si>
  <si>
    <t>2452645.613 </t>
  </si>
  <si>
    <t> 06.01.2003 02:42 </t>
  </si>
  <si>
    <t> 0.583 </t>
  </si>
  <si>
    <t> s.Dvorak </t>
  </si>
  <si>
    <t>IBVS 5502 </t>
  </si>
  <si>
    <t>2453015.7747 </t>
  </si>
  <si>
    <t> 11.01.2004 06:35 </t>
  </si>
  <si>
    <t> 0.5836 </t>
  </si>
  <si>
    <t> R.Nelson </t>
  </si>
  <si>
    <t>IBVS 5602 </t>
  </si>
  <si>
    <t>2453379.8292 </t>
  </si>
  <si>
    <t> 09.01.2005 07:54 </t>
  </si>
  <si>
    <t> 0.5849 </t>
  </si>
  <si>
    <t> S. Dvorak </t>
  </si>
  <si>
    <t>IBVS 5677 </t>
  </si>
  <si>
    <t>2453385.295 </t>
  </si>
  <si>
    <t> 14.01.2005 19:04 </t>
  </si>
  <si>
    <t> 0.553 </t>
  </si>
  <si>
    <t> E. Blättler </t>
  </si>
  <si>
    <t>IBVS 5653 </t>
  </si>
  <si>
    <t>2453405.457 </t>
  </si>
  <si>
    <t> 03.02.2005 22:58 </t>
  </si>
  <si>
    <t> 0.558 </t>
  </si>
  <si>
    <t>OEJV 0003 </t>
  </si>
  <si>
    <t>2453451.2949 </t>
  </si>
  <si>
    <t> 21.03.2005 19:04 </t>
  </si>
  <si>
    <t> 0.5838 </t>
  </si>
  <si>
    <t> M. Zejda et al. </t>
  </si>
  <si>
    <t>IBVS 5741 </t>
  </si>
  <si>
    <t>2453746.3226 </t>
  </si>
  <si>
    <t> 10.01.2006 19:44 </t>
  </si>
  <si>
    <t> 0.5819 </t>
  </si>
  <si>
    <t>C </t>
  </si>
  <si>
    <t>o</t>
  </si>
  <si>
    <t> Moschner </t>
  </si>
  <si>
    <t>BAVM 178 </t>
  </si>
  <si>
    <t>2454097.5466 </t>
  </si>
  <si>
    <t> 28.12.2006 01:07 </t>
  </si>
  <si>
    <t> 0.5802 </t>
  </si>
  <si>
    <t> R. Diethelm </t>
  </si>
  <si>
    <t> BBS 133 (=IBVS 5781) </t>
  </si>
  <si>
    <t>2454116.4849 </t>
  </si>
  <si>
    <t> 15.01.2007 23:38 </t>
  </si>
  <si>
    <t> 0.5828 </t>
  </si>
  <si>
    <t>-I</t>
  </si>
  <si>
    <t> F.Agerer </t>
  </si>
  <si>
    <t>BAVM 186 </t>
  </si>
  <si>
    <t>2454149.4705 </t>
  </si>
  <si>
    <t> 17.02.2007 23:17 </t>
  </si>
  <si>
    <t>21541.5</t>
  </si>
  <si>
    <t> 0.5837 </t>
  </si>
  <si>
    <t>2454843.3693 </t>
  </si>
  <si>
    <t> 11.01.2009 20:51 </t>
  </si>
  <si>
    <t>22109.5</t>
  </si>
  <si>
    <t> 0.5826 </t>
  </si>
  <si>
    <t>BAVM 209 </t>
  </si>
  <si>
    <t>2455201.3127 </t>
  </si>
  <si>
    <t> 04.01.2010 19:30 </t>
  </si>
  <si>
    <t>22402.5</t>
  </si>
  <si>
    <t> 0.5811 </t>
  </si>
  <si>
    <t>BAVM 214 </t>
  </si>
  <si>
    <t>2455605.6807 </t>
  </si>
  <si>
    <t> 13.02.2011 04:20 </t>
  </si>
  <si>
    <t>22733.5</t>
  </si>
  <si>
    <t> 0.5814 </t>
  </si>
  <si>
    <t>IBVS 5992 </t>
  </si>
  <si>
    <t>2455623.3950 </t>
  </si>
  <si>
    <t> 02.03.2011 21:28 </t>
  </si>
  <si>
    <t>22748</t>
  </si>
  <si>
    <t> 0.5817 </t>
  </si>
  <si>
    <t>BAVM 220 </t>
  </si>
  <si>
    <t>2455907.4267 </t>
  </si>
  <si>
    <t> 11.12.2011 22:14 </t>
  </si>
  <si>
    <t>22980.5</t>
  </si>
  <si>
    <t> 0.5787 </t>
  </si>
  <si>
    <t> D.Böhme </t>
  </si>
  <si>
    <t>BAVM 225 </t>
  </si>
  <si>
    <t>BAD?</t>
  </si>
  <si>
    <t>CCD?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</si>
</sst>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 Gem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25"/>
          <c:w val="0.896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5695281"/>
        <c:axId val="31495482"/>
      </c:scatterChart>
      <c:valAx>
        <c:axId val="55695281"/>
        <c:scaling>
          <c:orientation val="minMax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crossBetween val="midCat"/>
        <c:dispUnits/>
      </c:valAx>
      <c:valAx>
        <c:axId val="31495482"/>
        <c:scaling>
          <c:orientation val="minMax"/>
          <c:max val="0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305"/>
          <c:w val="0.928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 Gem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"/>
          <c:w val="0.897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0.004</c:v>
                  </c:pt>
                  <c:pt idx="34">
                    <c:v>0.003</c:v>
                  </c:pt>
                  <c:pt idx="35">
                    <c:v>0.0017</c:v>
                  </c:pt>
                  <c:pt idx="36">
                    <c:v>0.0036</c:v>
                  </c:pt>
                  <c:pt idx="37">
                    <c:v>0</c:v>
                  </c:pt>
                  <c:pt idx="38">
                    <c:v>0.003</c:v>
                  </c:pt>
                  <c:pt idx="39">
                    <c:v>0.0002</c:v>
                  </c:pt>
                  <c:pt idx="40">
                    <c:v>0.0004</c:v>
                  </c:pt>
                  <c:pt idx="41">
                    <c:v>0.002</c:v>
                  </c:pt>
                  <c:pt idx="42">
                    <c:v>0.006</c:v>
                  </c:pt>
                  <c:pt idx="43">
                    <c:v>0.0009</c:v>
                  </c:pt>
                  <c:pt idx="44">
                    <c:v>0.0007</c:v>
                  </c:pt>
                  <c:pt idx="45">
                    <c:v>0.0005</c:v>
                  </c:pt>
                  <c:pt idx="46">
                    <c:v>0.0007</c:v>
                  </c:pt>
                  <c:pt idx="47">
                    <c:v>0.0011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0.0006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5023883"/>
        <c:axId val="997220"/>
      </c:scatterChart>
      <c:valAx>
        <c:axId val="15023883"/>
        <c:scaling>
          <c:orientation val="minMax"/>
          <c:min val="-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crossBetween val="midCat"/>
        <c:dispUnits/>
      </c:val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305"/>
          <c:w val="0.926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15</xdr:col>
      <xdr:colOff>85725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257175</xdr:colOff>
      <xdr:row>0</xdr:row>
      <xdr:rowOff>0</xdr:rowOff>
    </xdr:from>
    <xdr:to>
      <xdr:col>23</xdr:col>
      <xdr:colOff>619125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353675" y="0"/>
        <a:ext cx="51339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502" TargetMode="External" /><Relationship Id="rId4" Type="http://schemas.openxmlformats.org/officeDocument/2006/relationships/hyperlink" Target="http://www.konkoly.hu/cgi-bin/IBVS?5602" TargetMode="External" /><Relationship Id="rId5" Type="http://schemas.openxmlformats.org/officeDocument/2006/relationships/hyperlink" Target="http://www.konkoly.hu/cgi-bin/IBVS?5677" TargetMode="External" /><Relationship Id="rId6" Type="http://schemas.openxmlformats.org/officeDocument/2006/relationships/hyperlink" Target="http://www.konkoly.hu/cgi-bin/IBVS?5653" TargetMode="External" /><Relationship Id="rId7" Type="http://schemas.openxmlformats.org/officeDocument/2006/relationships/hyperlink" Target="http://var.astro.cz/oejv/issues/oejv0003.pdf" TargetMode="External" /><Relationship Id="rId8" Type="http://schemas.openxmlformats.org/officeDocument/2006/relationships/hyperlink" Target="http://www.konkoly.hu/cgi-bin/IBVS?5741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186" TargetMode="External" /><Relationship Id="rId11" Type="http://schemas.openxmlformats.org/officeDocument/2006/relationships/hyperlink" Target="http://www.bav-astro.de/sfs/BAVM_link.php?BAVMnr=186" TargetMode="External" /><Relationship Id="rId12" Type="http://schemas.openxmlformats.org/officeDocument/2006/relationships/hyperlink" Target="http://www.bav-astro.de/sfs/BAVM_link.php?BAVMnr=209" TargetMode="External" /><Relationship Id="rId13" Type="http://schemas.openxmlformats.org/officeDocument/2006/relationships/hyperlink" Target="http://www.bav-astro.de/sfs/BAVM_link.php?BAVMnr=214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www.bav-astro.de/sfs/BAVM_link.php?BAVMnr=220" TargetMode="External" /><Relationship Id="rId16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1">
      <pane xSplit="14" ySplit="22" topLeftCell="O5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2" ht="12.75">
      <c r="A2" t="s">
        <v>24</v>
      </c>
      <c r="B2" s="12" t="s">
        <v>52</v>
      </c>
    </row>
    <row r="4" spans="1:4" ht="14.25" thickBot="1" thickTop="1">
      <c r="A4" s="7" t="s">
        <v>0</v>
      </c>
      <c r="C4" s="3">
        <v>27832.6099</v>
      </c>
      <c r="D4" s="4">
        <v>1.2216548</v>
      </c>
    </row>
    <row r="5" spans="1:4" ht="13.5" thickTop="1">
      <c r="A5" s="24" t="s">
        <v>57</v>
      </c>
      <c r="B5" s="15"/>
      <c r="C5" s="25">
        <v>-9.5</v>
      </c>
      <c r="D5" s="15" t="s">
        <v>58</v>
      </c>
    </row>
    <row r="6" ht="12.75">
      <c r="A6" s="7" t="s">
        <v>1</v>
      </c>
    </row>
    <row r="7" spans="1:3" ht="12.75">
      <c r="A7" t="s">
        <v>2</v>
      </c>
      <c r="C7">
        <f>+C4</f>
        <v>27832.6099</v>
      </c>
    </row>
    <row r="8" spans="1:3" ht="12.75">
      <c r="A8" t="s">
        <v>3</v>
      </c>
      <c r="C8">
        <f>+D4</f>
        <v>1.2216548</v>
      </c>
    </row>
    <row r="9" spans="1:4" ht="12.75">
      <c r="A9" s="38" t="s">
        <v>67</v>
      </c>
      <c r="B9" s="39">
        <v>54</v>
      </c>
      <c r="C9" s="37" t="str">
        <f>"F"&amp;B9</f>
        <v>F54</v>
      </c>
      <c r="D9" s="20" t="str">
        <f>"G"&amp;B9</f>
        <v>G54</v>
      </c>
    </row>
    <row r="10" spans="1:5" ht="13.5" thickBot="1">
      <c r="A10" s="15"/>
      <c r="B10" s="15"/>
      <c r="C10" s="6" t="s">
        <v>20</v>
      </c>
      <c r="D10" s="6" t="s">
        <v>21</v>
      </c>
      <c r="E10" s="15"/>
    </row>
    <row r="11" spans="1:5" ht="12.75">
      <c r="A11" s="15" t="s">
        <v>16</v>
      </c>
      <c r="B11" s="15"/>
      <c r="C11" s="36">
        <f ca="1">INTERCEPT(INDIRECT($D$9):G992,INDIRECT($C$9):F992)</f>
        <v>-0.017989304372166885</v>
      </c>
      <c r="D11" s="5"/>
      <c r="E11" s="15"/>
    </row>
    <row r="12" spans="1:5" ht="12.75">
      <c r="A12" s="15" t="s">
        <v>17</v>
      </c>
      <c r="B12" s="15"/>
      <c r="C12" s="36">
        <f ca="1">SLOPE(INDIRECT($D$9):G992,INDIRECT($C$9):F992)</f>
        <v>-4.951112734128865E-07</v>
      </c>
      <c r="D12" s="5"/>
      <c r="E12" s="15"/>
    </row>
    <row r="13" spans="1:3" ht="12.75">
      <c r="A13" s="15" t="s">
        <v>19</v>
      </c>
      <c r="B13" s="15"/>
      <c r="C13" s="5" t="s">
        <v>14</v>
      </c>
    </row>
    <row r="14" spans="1:3" ht="12.75">
      <c r="A14" s="15"/>
      <c r="B14" s="15"/>
      <c r="C14" s="15"/>
    </row>
    <row r="15" spans="1:6" ht="12.75">
      <c r="A15" s="26" t="s">
        <v>18</v>
      </c>
      <c r="B15" s="15"/>
      <c r="C15" s="27">
        <f>(C7+C11)+(C8+C12)*INT(MAX(F21:F3533))</f>
        <v>55907.42949134346</v>
      </c>
      <c r="E15" s="28" t="s">
        <v>65</v>
      </c>
      <c r="F15" s="25">
        <v>1</v>
      </c>
    </row>
    <row r="16" spans="1:6" ht="12.75">
      <c r="A16" s="30" t="s">
        <v>4</v>
      </c>
      <c r="B16" s="15"/>
      <c r="C16" s="31">
        <f>+C8+C12</f>
        <v>1.2216543048887267</v>
      </c>
      <c r="E16" s="28" t="s">
        <v>59</v>
      </c>
      <c r="F16" s="29">
        <f ca="1">NOW()+15018.5+$C$5/24</f>
        <v>59900.74628310185</v>
      </c>
    </row>
    <row r="17" spans="1:6" ht="13.5" thickBot="1">
      <c r="A17" s="28" t="s">
        <v>54</v>
      </c>
      <c r="B17" s="15"/>
      <c r="C17" s="15">
        <f>COUNT(C21:C2191)</f>
        <v>53</v>
      </c>
      <c r="E17" s="28" t="s">
        <v>66</v>
      </c>
      <c r="F17" s="29">
        <f>ROUND(2*(F16-$C$7)/$C$8,0)/2+F15</f>
        <v>26251</v>
      </c>
    </row>
    <row r="18" spans="1:6" ht="14.25" thickBot="1" thickTop="1">
      <c r="A18" s="30" t="s">
        <v>5</v>
      </c>
      <c r="B18" s="15"/>
      <c r="C18" s="33">
        <f>+C15</f>
        <v>55907.42949134346</v>
      </c>
      <c r="D18" s="34">
        <f>+C16</f>
        <v>1.2216543048887267</v>
      </c>
      <c r="E18" s="28" t="s">
        <v>60</v>
      </c>
      <c r="F18" s="20">
        <f>ROUND(2*(F16-$C$15)/$C$16,0)/2+F15</f>
        <v>3270</v>
      </c>
    </row>
    <row r="19" spans="5:6" ht="13.5" thickTop="1">
      <c r="E19" s="28" t="s">
        <v>61</v>
      </c>
      <c r="F19" s="32">
        <f>+$C$15+$C$16*F18-15018.5-$C$5/24</f>
        <v>44884.13490166293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83</v>
      </c>
      <c r="I20" s="9" t="s">
        <v>86</v>
      </c>
      <c r="J20" s="9" t="s">
        <v>80</v>
      </c>
      <c r="K20" s="9" t="s">
        <v>78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9" t="s">
        <v>302</v>
      </c>
    </row>
    <row r="21" spans="1:17" ht="12.75">
      <c r="A21" s="56" t="s">
        <v>92</v>
      </c>
      <c r="B21" s="57" t="s">
        <v>47</v>
      </c>
      <c r="C21" s="58">
        <v>15099.29</v>
      </c>
      <c r="D21" s="58" t="s">
        <v>86</v>
      </c>
      <c r="E21">
        <f aca="true" t="shared" si="0" ref="E21:E52">+(C21-C$7)/C$8</f>
        <v>-10423.009756929698</v>
      </c>
      <c r="F21">
        <f aca="true" t="shared" si="1" ref="F21:F52">ROUND(2*E21,0)/2</f>
        <v>-10423</v>
      </c>
      <c r="G21">
        <f aca="true" t="shared" si="2" ref="G21:G61">+C21-(C$7+F21*C$8)</f>
        <v>-0.011919599997781916</v>
      </c>
      <c r="I21">
        <f aca="true" t="shared" si="3" ref="I21:I27">G21</f>
        <v>-0.011919599997781916</v>
      </c>
      <c r="O21">
        <f aca="true" t="shared" si="4" ref="O21:O52">+C$11+C$12*F21</f>
        <v>-0.01282875956938437</v>
      </c>
      <c r="Q21" s="2">
        <f aca="true" t="shared" si="5" ref="Q21:Q52">+C21-15018.5</f>
        <v>80.79000000000087</v>
      </c>
    </row>
    <row r="22" spans="1:17" ht="12.75">
      <c r="A22" s="56" t="s">
        <v>92</v>
      </c>
      <c r="B22" s="57" t="s">
        <v>47</v>
      </c>
      <c r="C22" s="58">
        <v>20539.35</v>
      </c>
      <c r="D22" s="58" t="s">
        <v>86</v>
      </c>
      <c r="E22">
        <f t="shared" si="0"/>
        <v>-5969.984237773224</v>
      </c>
      <c r="F22">
        <f t="shared" si="1"/>
        <v>-5970</v>
      </c>
      <c r="G22">
        <f t="shared" si="2"/>
        <v>0.019255999999586493</v>
      </c>
      <c r="I22">
        <f t="shared" si="3"/>
        <v>0.019255999999586493</v>
      </c>
      <c r="O22">
        <f t="shared" si="4"/>
        <v>-0.015033490069891953</v>
      </c>
      <c r="Q22" s="2">
        <f t="shared" si="5"/>
        <v>5520.8499999999985</v>
      </c>
    </row>
    <row r="23" spans="1:17" ht="12.75">
      <c r="A23" s="56" t="s">
        <v>92</v>
      </c>
      <c r="B23" s="57" t="s">
        <v>47</v>
      </c>
      <c r="C23" s="58">
        <v>26034.323</v>
      </c>
      <c r="D23" s="58" t="s">
        <v>86</v>
      </c>
      <c r="E23">
        <f t="shared" si="0"/>
        <v>-1472.009032338758</v>
      </c>
      <c r="F23">
        <f t="shared" si="1"/>
        <v>-1472</v>
      </c>
      <c r="G23">
        <f t="shared" si="2"/>
        <v>-0.011034399998607114</v>
      </c>
      <c r="I23">
        <f t="shared" si="3"/>
        <v>-0.011034399998607114</v>
      </c>
      <c r="O23">
        <f t="shared" si="4"/>
        <v>-0.017260500577703116</v>
      </c>
      <c r="Q23" s="2">
        <f t="shared" si="5"/>
        <v>11015.823</v>
      </c>
    </row>
    <row r="24" spans="1:17" ht="12.75">
      <c r="A24" s="56" t="s">
        <v>92</v>
      </c>
      <c r="B24" s="57" t="s">
        <v>47</v>
      </c>
      <c r="C24" s="58">
        <v>26056.336</v>
      </c>
      <c r="D24" s="58" t="s">
        <v>86</v>
      </c>
      <c r="E24">
        <f t="shared" si="0"/>
        <v>-1453.9900305716476</v>
      </c>
      <c r="F24">
        <f t="shared" si="1"/>
        <v>-1454</v>
      </c>
      <c r="G24">
        <f t="shared" si="2"/>
        <v>0.012179199999081902</v>
      </c>
      <c r="I24">
        <f t="shared" si="3"/>
        <v>0.012179199999081902</v>
      </c>
      <c r="O24">
        <f t="shared" si="4"/>
        <v>-0.01726941258062455</v>
      </c>
      <c r="Q24" s="2">
        <f t="shared" si="5"/>
        <v>11037.836</v>
      </c>
    </row>
    <row r="25" spans="1:17" ht="12.75">
      <c r="A25" s="56" t="s">
        <v>92</v>
      </c>
      <c r="B25" s="57" t="s">
        <v>47</v>
      </c>
      <c r="C25" s="58">
        <v>27457.545</v>
      </c>
      <c r="D25" s="58" t="s">
        <v>86</v>
      </c>
      <c r="E25">
        <f t="shared" si="0"/>
        <v>-307.0138143770247</v>
      </c>
      <c r="F25">
        <f t="shared" si="1"/>
        <v>-307</v>
      </c>
      <c r="G25">
        <f t="shared" si="2"/>
        <v>-0.016876400000910508</v>
      </c>
      <c r="I25">
        <f t="shared" si="3"/>
        <v>-0.016876400000910508</v>
      </c>
      <c r="O25">
        <f t="shared" si="4"/>
        <v>-0.01783730521122913</v>
      </c>
      <c r="Q25" s="2">
        <f t="shared" si="5"/>
        <v>12439.044999999998</v>
      </c>
    </row>
    <row r="26" spans="1:17" ht="12.75">
      <c r="A26" s="56" t="s">
        <v>92</v>
      </c>
      <c r="B26" s="57" t="s">
        <v>47</v>
      </c>
      <c r="C26" s="58">
        <v>27716.534</v>
      </c>
      <c r="D26" s="58" t="s">
        <v>86</v>
      </c>
      <c r="E26">
        <f t="shared" si="0"/>
        <v>-95.01530219502253</v>
      </c>
      <c r="F26">
        <f t="shared" si="1"/>
        <v>-95</v>
      </c>
      <c r="G26">
        <f t="shared" si="2"/>
        <v>-0.018693999998504296</v>
      </c>
      <c r="I26">
        <f t="shared" si="3"/>
        <v>-0.018693999998504296</v>
      </c>
      <c r="O26">
        <f t="shared" si="4"/>
        <v>-0.01794226880119266</v>
      </c>
      <c r="Q26" s="2">
        <f t="shared" si="5"/>
        <v>12698.034</v>
      </c>
    </row>
    <row r="27" spans="1:17" ht="12.75">
      <c r="A27" s="56" t="s">
        <v>92</v>
      </c>
      <c r="B27" s="57" t="s">
        <v>47</v>
      </c>
      <c r="C27" s="58">
        <v>27815.486</v>
      </c>
      <c r="D27" s="58" t="s">
        <v>86</v>
      </c>
      <c r="E27">
        <f t="shared" si="0"/>
        <v>-14.016971078899443</v>
      </c>
      <c r="F27">
        <f t="shared" si="1"/>
        <v>-14</v>
      </c>
      <c r="G27">
        <f t="shared" si="2"/>
        <v>-0.02073279999967781</v>
      </c>
      <c r="I27">
        <f t="shared" si="3"/>
        <v>-0.02073279999967781</v>
      </c>
      <c r="O27">
        <f t="shared" si="4"/>
        <v>-0.017982372814339107</v>
      </c>
      <c r="Q27" s="2">
        <f t="shared" si="5"/>
        <v>12796.986</v>
      </c>
    </row>
    <row r="28" spans="1:17" ht="12.75">
      <c r="A28" t="s">
        <v>12</v>
      </c>
      <c r="C28" s="21">
        <v>27832.6099</v>
      </c>
      <c r="D28" s="21" t="s">
        <v>14</v>
      </c>
      <c r="E28">
        <f t="shared" si="0"/>
        <v>0</v>
      </c>
      <c r="F28">
        <f t="shared" si="1"/>
        <v>0</v>
      </c>
      <c r="G28">
        <f t="shared" si="2"/>
        <v>0</v>
      </c>
      <c r="H28">
        <f>+G28</f>
        <v>0</v>
      </c>
      <c r="O28">
        <f t="shared" si="4"/>
        <v>-0.017989304372166885</v>
      </c>
      <c r="Q28" s="2">
        <f t="shared" si="5"/>
        <v>12814.1099</v>
      </c>
    </row>
    <row r="29" spans="1:17" ht="12.75">
      <c r="A29" s="56" t="s">
        <v>92</v>
      </c>
      <c r="B29" s="57" t="s">
        <v>47</v>
      </c>
      <c r="C29" s="58">
        <v>27837.491</v>
      </c>
      <c r="D29" s="58" t="s">
        <v>86</v>
      </c>
      <c r="E29">
        <f t="shared" si="0"/>
        <v>3.995482193498797</v>
      </c>
      <c r="F29">
        <f t="shared" si="1"/>
        <v>4</v>
      </c>
      <c r="G29">
        <f t="shared" si="2"/>
        <v>-0.00551919999634265</v>
      </c>
      <c r="I29">
        <f aca="true" t="shared" si="6" ref="I29:I55">G29</f>
        <v>-0.00551919999634265</v>
      </c>
      <c r="O29">
        <f t="shared" si="4"/>
        <v>-0.017991284817260537</v>
      </c>
      <c r="Q29" s="2">
        <f t="shared" si="5"/>
        <v>12818.991000000002</v>
      </c>
    </row>
    <row r="30" spans="1:17" ht="12.75">
      <c r="A30" s="56" t="s">
        <v>92</v>
      </c>
      <c r="B30" s="57" t="s">
        <v>47</v>
      </c>
      <c r="C30" s="58">
        <v>27886.313</v>
      </c>
      <c r="D30" s="58" t="s">
        <v>86</v>
      </c>
      <c r="E30">
        <f t="shared" si="0"/>
        <v>43.95930830869638</v>
      </c>
      <c r="F30">
        <f t="shared" si="1"/>
        <v>44</v>
      </c>
      <c r="G30">
        <f t="shared" si="2"/>
        <v>-0.0497112000011839</v>
      </c>
      <c r="I30">
        <f t="shared" si="6"/>
        <v>-0.0497112000011839</v>
      </c>
      <c r="O30">
        <f t="shared" si="4"/>
        <v>-0.018011089268197052</v>
      </c>
      <c r="Q30" s="2">
        <f t="shared" si="5"/>
        <v>12867.812999999998</v>
      </c>
    </row>
    <row r="31" spans="1:17" ht="12.75">
      <c r="A31" s="56" t="s">
        <v>92</v>
      </c>
      <c r="B31" s="57" t="s">
        <v>47</v>
      </c>
      <c r="C31" s="58">
        <v>27886.357</v>
      </c>
      <c r="D31" s="58" t="s">
        <v>86</v>
      </c>
      <c r="E31">
        <f t="shared" si="0"/>
        <v>43.99532502962416</v>
      </c>
      <c r="F31">
        <f t="shared" si="1"/>
        <v>44</v>
      </c>
      <c r="G31">
        <f t="shared" si="2"/>
        <v>-0.005711199999495875</v>
      </c>
      <c r="I31">
        <f t="shared" si="6"/>
        <v>-0.005711199999495875</v>
      </c>
      <c r="O31">
        <f t="shared" si="4"/>
        <v>-0.018011089268197052</v>
      </c>
      <c r="Q31" s="2">
        <f t="shared" si="5"/>
        <v>12867.857</v>
      </c>
    </row>
    <row r="32" spans="1:17" ht="12.75">
      <c r="A32" s="56" t="s">
        <v>92</v>
      </c>
      <c r="B32" s="57" t="s">
        <v>47</v>
      </c>
      <c r="C32" s="58">
        <v>28211.337</v>
      </c>
      <c r="D32" s="58" t="s">
        <v>86</v>
      </c>
      <c r="E32">
        <f t="shared" si="0"/>
        <v>310.01155154467534</v>
      </c>
      <c r="F32">
        <f t="shared" si="1"/>
        <v>310</v>
      </c>
      <c r="G32">
        <f t="shared" si="2"/>
        <v>0.014112000000750413</v>
      </c>
      <c r="I32">
        <f t="shared" si="6"/>
        <v>0.014112000000750413</v>
      </c>
      <c r="O32">
        <f t="shared" si="4"/>
        <v>-0.01814278886692488</v>
      </c>
      <c r="Q32" s="2">
        <f t="shared" si="5"/>
        <v>13192.837</v>
      </c>
    </row>
    <row r="33" spans="1:17" ht="12.75">
      <c r="A33" s="56" t="s">
        <v>92</v>
      </c>
      <c r="B33" s="57" t="s">
        <v>47</v>
      </c>
      <c r="C33" s="58">
        <v>28211.352</v>
      </c>
      <c r="D33" s="58" t="s">
        <v>86</v>
      </c>
      <c r="E33">
        <f t="shared" si="0"/>
        <v>310.0238299722634</v>
      </c>
      <c r="F33">
        <f t="shared" si="1"/>
        <v>310</v>
      </c>
      <c r="G33">
        <f t="shared" si="2"/>
        <v>0.029112000000168337</v>
      </c>
      <c r="I33">
        <f t="shared" si="6"/>
        <v>0.029112000000168337</v>
      </c>
      <c r="O33">
        <f t="shared" si="4"/>
        <v>-0.01814278886692488</v>
      </c>
      <c r="Q33" s="2">
        <f t="shared" si="5"/>
        <v>13192.851999999999</v>
      </c>
    </row>
    <row r="34" spans="1:17" ht="12.75">
      <c r="A34" s="56" t="s">
        <v>92</v>
      </c>
      <c r="B34" s="57" t="s">
        <v>47</v>
      </c>
      <c r="C34" s="58">
        <v>28212.527</v>
      </c>
      <c r="D34" s="58" t="s">
        <v>86</v>
      </c>
      <c r="E34">
        <f t="shared" si="0"/>
        <v>310.9856401333656</v>
      </c>
      <c r="F34">
        <f t="shared" si="1"/>
        <v>311</v>
      </c>
      <c r="G34">
        <f t="shared" si="2"/>
        <v>-0.017542800000228453</v>
      </c>
      <c r="I34">
        <f t="shared" si="6"/>
        <v>-0.017542800000228453</v>
      </c>
      <c r="O34">
        <f t="shared" si="4"/>
        <v>-0.018143283978198293</v>
      </c>
      <c r="Q34" s="2">
        <f t="shared" si="5"/>
        <v>13194.026999999998</v>
      </c>
    </row>
    <row r="35" spans="1:17" ht="12.75">
      <c r="A35" s="56" t="s">
        <v>92</v>
      </c>
      <c r="B35" s="57" t="s">
        <v>47</v>
      </c>
      <c r="C35" s="58">
        <v>28542.371</v>
      </c>
      <c r="D35" s="58" t="s">
        <v>86</v>
      </c>
      <c r="E35">
        <f t="shared" si="0"/>
        <v>580.9833514344639</v>
      </c>
      <c r="F35">
        <f t="shared" si="1"/>
        <v>581</v>
      </c>
      <c r="G35">
        <f t="shared" si="2"/>
        <v>-0.020338800000899937</v>
      </c>
      <c r="I35">
        <f t="shared" si="6"/>
        <v>-0.020338800000899937</v>
      </c>
      <c r="O35">
        <f t="shared" si="4"/>
        <v>-0.01827696402201977</v>
      </c>
      <c r="Q35" s="2">
        <f t="shared" si="5"/>
        <v>13523.871</v>
      </c>
    </row>
    <row r="36" spans="1:17" ht="12.75">
      <c r="A36" s="56" t="s">
        <v>92</v>
      </c>
      <c r="B36" s="57" t="s">
        <v>47</v>
      </c>
      <c r="C36" s="58">
        <v>28542.389</v>
      </c>
      <c r="D36" s="58" t="s">
        <v>86</v>
      </c>
      <c r="E36">
        <f t="shared" si="0"/>
        <v>580.9980855475702</v>
      </c>
      <c r="F36">
        <f t="shared" si="1"/>
        <v>581</v>
      </c>
      <c r="G36">
        <f t="shared" si="2"/>
        <v>-0.002338800000870833</v>
      </c>
      <c r="I36">
        <f t="shared" si="6"/>
        <v>-0.002338800000870833</v>
      </c>
      <c r="O36">
        <f t="shared" si="4"/>
        <v>-0.01827696402201977</v>
      </c>
      <c r="Q36" s="2">
        <f t="shared" si="5"/>
        <v>13523.889</v>
      </c>
    </row>
    <row r="37" spans="1:17" ht="12.75">
      <c r="A37" s="56" t="s">
        <v>92</v>
      </c>
      <c r="B37" s="57" t="s">
        <v>47</v>
      </c>
      <c r="C37" s="58">
        <v>28542.41</v>
      </c>
      <c r="D37" s="58" t="s">
        <v>86</v>
      </c>
      <c r="E37">
        <f t="shared" si="0"/>
        <v>581.0152753461947</v>
      </c>
      <c r="F37">
        <f t="shared" si="1"/>
        <v>581</v>
      </c>
      <c r="G37">
        <f t="shared" si="2"/>
        <v>0.01866119999976945</v>
      </c>
      <c r="I37">
        <f t="shared" si="6"/>
        <v>0.01866119999976945</v>
      </c>
      <c r="O37">
        <f t="shared" si="4"/>
        <v>-0.01827696402201977</v>
      </c>
      <c r="Q37" s="2">
        <f t="shared" si="5"/>
        <v>13523.91</v>
      </c>
    </row>
    <row r="38" spans="1:31" ht="12.75">
      <c r="A38" t="s">
        <v>29</v>
      </c>
      <c r="C38" s="21">
        <v>42453.352</v>
      </c>
      <c r="D38" s="21"/>
      <c r="E38">
        <f t="shared" si="0"/>
        <v>11967.981544377348</v>
      </c>
      <c r="F38">
        <f t="shared" si="1"/>
        <v>11968</v>
      </c>
      <c r="G38">
        <f t="shared" si="2"/>
        <v>-0.022546400003193412</v>
      </c>
      <c r="I38">
        <f t="shared" si="6"/>
        <v>-0.022546400003193412</v>
      </c>
      <c r="O38">
        <f t="shared" si="4"/>
        <v>-0.02391479609237231</v>
      </c>
      <c r="Q38" s="2">
        <f t="shared" si="5"/>
        <v>27434.852</v>
      </c>
      <c r="AA38">
        <v>8</v>
      </c>
      <c r="AC38" t="s">
        <v>28</v>
      </c>
      <c r="AE38" t="s">
        <v>30</v>
      </c>
    </row>
    <row r="39" spans="1:31" ht="12.75">
      <c r="A39" t="s">
        <v>29</v>
      </c>
      <c r="C39" s="21">
        <v>42475.347</v>
      </c>
      <c r="D39" s="21"/>
      <c r="E39">
        <f t="shared" si="0"/>
        <v>11985.985812031355</v>
      </c>
      <c r="F39">
        <f t="shared" si="1"/>
        <v>11986</v>
      </c>
      <c r="G39">
        <f t="shared" si="2"/>
        <v>-0.01733280000189552</v>
      </c>
      <c r="I39">
        <f t="shared" si="6"/>
        <v>-0.01733280000189552</v>
      </c>
      <c r="O39">
        <f t="shared" si="4"/>
        <v>-0.023923708095293744</v>
      </c>
      <c r="Q39" s="2">
        <f t="shared" si="5"/>
        <v>27456.847</v>
      </c>
      <c r="AA39">
        <v>12</v>
      </c>
      <c r="AC39" t="s">
        <v>31</v>
      </c>
      <c r="AE39" t="s">
        <v>30</v>
      </c>
    </row>
    <row r="40" spans="1:31" ht="12.75">
      <c r="A40" t="s">
        <v>32</v>
      </c>
      <c r="C40" s="21">
        <v>42669.585</v>
      </c>
      <c r="D40" s="21"/>
      <c r="E40">
        <f t="shared" si="0"/>
        <v>12144.981626560955</v>
      </c>
      <c r="F40">
        <f t="shared" si="1"/>
        <v>12145</v>
      </c>
      <c r="G40">
        <f t="shared" si="2"/>
        <v>-0.022446000002673827</v>
      </c>
      <c r="I40">
        <f t="shared" si="6"/>
        <v>-0.022446000002673827</v>
      </c>
      <c r="O40">
        <f t="shared" si="4"/>
        <v>-0.024002430787766392</v>
      </c>
      <c r="Q40" s="2">
        <f t="shared" si="5"/>
        <v>27651.085</v>
      </c>
      <c r="AA40">
        <v>11</v>
      </c>
      <c r="AC40" t="s">
        <v>31</v>
      </c>
      <c r="AE40" t="s">
        <v>30</v>
      </c>
    </row>
    <row r="41" spans="1:31" ht="12.75">
      <c r="A41" t="s">
        <v>33</v>
      </c>
      <c r="C41" s="21">
        <v>42806.431</v>
      </c>
      <c r="D41" s="21"/>
      <c r="E41">
        <f t="shared" si="0"/>
        <v>12256.9985400131</v>
      </c>
      <c r="F41">
        <f t="shared" si="1"/>
        <v>12257</v>
      </c>
      <c r="G41">
        <f t="shared" si="2"/>
        <v>-0.0017836000042734668</v>
      </c>
      <c r="I41">
        <f t="shared" si="6"/>
        <v>-0.0017836000042734668</v>
      </c>
      <c r="O41">
        <f t="shared" si="4"/>
        <v>-0.024057883250388636</v>
      </c>
      <c r="Q41" s="2">
        <f t="shared" si="5"/>
        <v>27787.930999999997</v>
      </c>
      <c r="AA41">
        <v>6</v>
      </c>
      <c r="AC41" t="s">
        <v>31</v>
      </c>
      <c r="AE41" t="s">
        <v>30</v>
      </c>
    </row>
    <row r="42" spans="1:31" ht="12.75">
      <c r="A42" t="s">
        <v>34</v>
      </c>
      <c r="C42" s="21">
        <v>43044.642</v>
      </c>
      <c r="D42" s="21"/>
      <c r="E42">
        <f t="shared" si="0"/>
        <v>12451.988974299451</v>
      </c>
      <c r="F42">
        <f t="shared" si="1"/>
        <v>12452</v>
      </c>
      <c r="G42">
        <f t="shared" si="2"/>
        <v>-0.013469600002281368</v>
      </c>
      <c r="I42">
        <f t="shared" si="6"/>
        <v>-0.013469600002281368</v>
      </c>
      <c r="O42">
        <f t="shared" si="4"/>
        <v>-0.024154429948704148</v>
      </c>
      <c r="Q42" s="2">
        <f t="shared" si="5"/>
        <v>28026.142</v>
      </c>
      <c r="AA42">
        <v>7</v>
      </c>
      <c r="AC42" t="s">
        <v>31</v>
      </c>
      <c r="AE42" t="s">
        <v>30</v>
      </c>
    </row>
    <row r="43" spans="1:31" ht="12.75">
      <c r="A43" t="s">
        <v>35</v>
      </c>
      <c r="C43" s="21">
        <v>44691.444</v>
      </c>
      <c r="D43" s="21"/>
      <c r="E43">
        <f t="shared" si="0"/>
        <v>13799.998248277667</v>
      </c>
      <c r="F43">
        <f t="shared" si="1"/>
        <v>13800</v>
      </c>
      <c r="G43">
        <f t="shared" si="2"/>
        <v>-0.002139999996870756</v>
      </c>
      <c r="I43">
        <f t="shared" si="6"/>
        <v>-0.002139999996870756</v>
      </c>
      <c r="O43">
        <f t="shared" si="4"/>
        <v>-0.02482183994526472</v>
      </c>
      <c r="Q43" s="2">
        <f t="shared" si="5"/>
        <v>29672.944000000003</v>
      </c>
      <c r="AA43">
        <v>5</v>
      </c>
      <c r="AC43" t="s">
        <v>31</v>
      </c>
      <c r="AE43" t="s">
        <v>30</v>
      </c>
    </row>
    <row r="44" spans="1:31" ht="12.75">
      <c r="A44" t="s">
        <v>36</v>
      </c>
      <c r="C44" s="21">
        <v>44885.67</v>
      </c>
      <c r="D44" s="21"/>
      <c r="E44">
        <f t="shared" si="0"/>
        <v>13958.984240065196</v>
      </c>
      <c r="F44">
        <f t="shared" si="1"/>
        <v>13959</v>
      </c>
      <c r="G44">
        <f t="shared" si="2"/>
        <v>-0.019253200000093784</v>
      </c>
      <c r="I44">
        <f t="shared" si="6"/>
        <v>-0.019253200000093784</v>
      </c>
      <c r="O44">
        <f t="shared" si="4"/>
        <v>-0.024900562637737367</v>
      </c>
      <c r="Q44" s="2">
        <f t="shared" si="5"/>
        <v>29867.17</v>
      </c>
      <c r="AA44">
        <v>6</v>
      </c>
      <c r="AC44" t="s">
        <v>31</v>
      </c>
      <c r="AE44" t="s">
        <v>30</v>
      </c>
    </row>
    <row r="45" spans="1:31" ht="12.75">
      <c r="A45" t="s">
        <v>37</v>
      </c>
      <c r="C45" s="21">
        <v>44989.532</v>
      </c>
      <c r="D45" s="21"/>
      <c r="E45">
        <f t="shared" si="0"/>
        <v>14044.00170981197</v>
      </c>
      <c r="F45">
        <f t="shared" si="1"/>
        <v>14044</v>
      </c>
      <c r="G45">
        <f t="shared" si="2"/>
        <v>0.0020887999999104068</v>
      </c>
      <c r="I45">
        <f t="shared" si="6"/>
        <v>0.0020887999999104068</v>
      </c>
      <c r="O45">
        <f t="shared" si="4"/>
        <v>-0.024942647095977464</v>
      </c>
      <c r="Q45" s="2">
        <f t="shared" si="5"/>
        <v>29971.032</v>
      </c>
      <c r="AA45">
        <v>6</v>
      </c>
      <c r="AC45" t="s">
        <v>31</v>
      </c>
      <c r="AE45" t="s">
        <v>30</v>
      </c>
    </row>
    <row r="46" spans="1:31" ht="12.75">
      <c r="A46" t="s">
        <v>38</v>
      </c>
      <c r="C46" s="21">
        <v>45010.298</v>
      </c>
      <c r="D46" s="21"/>
      <c r="E46">
        <f t="shared" si="0"/>
        <v>14060.999964965555</v>
      </c>
      <c r="F46">
        <f t="shared" si="1"/>
        <v>14061</v>
      </c>
      <c r="G46">
        <f t="shared" si="2"/>
        <v>-4.27999984822236E-05</v>
      </c>
      <c r="I46">
        <f t="shared" si="6"/>
        <v>-4.27999984822236E-05</v>
      </c>
      <c r="O46">
        <f t="shared" si="4"/>
        <v>-0.024951063987625484</v>
      </c>
      <c r="Q46" s="2">
        <f t="shared" si="5"/>
        <v>29991.798000000003</v>
      </c>
      <c r="AA46">
        <v>5</v>
      </c>
      <c r="AC46" t="s">
        <v>31</v>
      </c>
      <c r="AE46" t="s">
        <v>30</v>
      </c>
    </row>
    <row r="47" spans="1:31" ht="12.75">
      <c r="A47" t="s">
        <v>39</v>
      </c>
      <c r="C47" s="21">
        <v>45385.333</v>
      </c>
      <c r="D47" s="21"/>
      <c r="E47">
        <f t="shared" si="0"/>
        <v>14367.989304343582</v>
      </c>
      <c r="F47">
        <f t="shared" si="1"/>
        <v>14368</v>
      </c>
      <c r="G47">
        <f t="shared" si="2"/>
        <v>-0.013066400002571754</v>
      </c>
      <c r="I47">
        <f t="shared" si="6"/>
        <v>-0.013066400002571754</v>
      </c>
      <c r="O47">
        <f t="shared" si="4"/>
        <v>-0.02510306314856324</v>
      </c>
      <c r="Q47" s="2">
        <f t="shared" si="5"/>
        <v>30366.833</v>
      </c>
      <c r="AA47">
        <v>6</v>
      </c>
      <c r="AC47" t="s">
        <v>31</v>
      </c>
      <c r="AE47" t="s">
        <v>30</v>
      </c>
    </row>
    <row r="48" spans="1:31" ht="12.75">
      <c r="A48" t="s">
        <v>40</v>
      </c>
      <c r="C48" s="21">
        <v>46676.611</v>
      </c>
      <c r="D48" s="21"/>
      <c r="E48">
        <f t="shared" si="0"/>
        <v>15424.980198989106</v>
      </c>
      <c r="F48">
        <f t="shared" si="1"/>
        <v>15425</v>
      </c>
      <c r="G48">
        <f t="shared" si="2"/>
        <v>-0.02419000000372762</v>
      </c>
      <c r="I48">
        <f t="shared" si="6"/>
        <v>-0.02419000000372762</v>
      </c>
      <c r="O48">
        <f t="shared" si="4"/>
        <v>-0.02562639576456066</v>
      </c>
      <c r="Q48" s="2">
        <f t="shared" si="5"/>
        <v>31658.110999999997</v>
      </c>
      <c r="AA48">
        <v>6</v>
      </c>
      <c r="AC48" t="s">
        <v>31</v>
      </c>
      <c r="AE48" t="s">
        <v>30</v>
      </c>
    </row>
    <row r="49" spans="1:17" ht="12.75">
      <c r="A49" s="56" t="s">
        <v>186</v>
      </c>
      <c r="B49" s="57" t="s">
        <v>45</v>
      </c>
      <c r="C49" s="58">
        <v>46769.465</v>
      </c>
      <c r="D49" s="58" t="s">
        <v>86</v>
      </c>
      <c r="E49">
        <f t="shared" si="0"/>
        <v>15500.986940009565</v>
      </c>
      <c r="F49">
        <f t="shared" si="1"/>
        <v>15501</v>
      </c>
      <c r="G49">
        <f t="shared" si="2"/>
        <v>-0.015954800008330494</v>
      </c>
      <c r="I49">
        <f t="shared" si="6"/>
        <v>-0.015954800008330494</v>
      </c>
      <c r="O49">
        <f t="shared" si="4"/>
        <v>-0.025664024221340037</v>
      </c>
      <c r="Q49" s="2">
        <f t="shared" si="5"/>
        <v>31750.964999999997</v>
      </c>
    </row>
    <row r="50" spans="1:17" ht="12.75">
      <c r="A50" s="56" t="s">
        <v>190</v>
      </c>
      <c r="B50" s="57" t="s">
        <v>45</v>
      </c>
      <c r="C50" s="58">
        <v>46851.33</v>
      </c>
      <c r="D50" s="58" t="s">
        <v>86</v>
      </c>
      <c r="E50">
        <f t="shared" si="0"/>
        <v>15567.998504978657</v>
      </c>
      <c r="F50">
        <f t="shared" si="1"/>
        <v>15568</v>
      </c>
      <c r="G50">
        <f t="shared" si="2"/>
        <v>-0.0018263999954797328</v>
      </c>
      <c r="I50">
        <f t="shared" si="6"/>
        <v>-0.0018263999954797328</v>
      </c>
      <c r="O50">
        <f t="shared" si="4"/>
        <v>-0.0256971966766587</v>
      </c>
      <c r="Q50" s="2">
        <f t="shared" si="5"/>
        <v>31832.83</v>
      </c>
    </row>
    <row r="51" spans="1:17" ht="12.75">
      <c r="A51" s="56" t="s">
        <v>190</v>
      </c>
      <c r="B51" s="57" t="s">
        <v>45</v>
      </c>
      <c r="C51" s="58">
        <v>47557.432</v>
      </c>
      <c r="D51" s="58" t="s">
        <v>86</v>
      </c>
      <c r="E51">
        <f t="shared" si="0"/>
        <v>16145.986656787172</v>
      </c>
      <c r="F51">
        <f t="shared" si="1"/>
        <v>16146</v>
      </c>
      <c r="G51">
        <f t="shared" si="2"/>
        <v>-0.01630079999449663</v>
      </c>
      <c r="I51">
        <f t="shared" si="6"/>
        <v>-0.01630079999449663</v>
      </c>
      <c r="O51">
        <f t="shared" si="4"/>
        <v>-0.02598337099269135</v>
      </c>
      <c r="Q51" s="2">
        <f t="shared" si="5"/>
        <v>32538.932</v>
      </c>
    </row>
    <row r="52" spans="1:17" ht="12.75">
      <c r="A52" s="56" t="s">
        <v>190</v>
      </c>
      <c r="B52" s="57" t="s">
        <v>45</v>
      </c>
      <c r="C52" s="58">
        <v>47557.435</v>
      </c>
      <c r="D52" s="58" t="s">
        <v>86</v>
      </c>
      <c r="E52">
        <f t="shared" si="0"/>
        <v>16145.989112472687</v>
      </c>
      <c r="F52">
        <f t="shared" si="1"/>
        <v>16146</v>
      </c>
      <c r="G52">
        <f t="shared" si="2"/>
        <v>-0.013300799997523427</v>
      </c>
      <c r="I52">
        <f t="shared" si="6"/>
        <v>-0.013300799997523427</v>
      </c>
      <c r="O52">
        <f t="shared" si="4"/>
        <v>-0.02598337099269135</v>
      </c>
      <c r="Q52" s="2">
        <f t="shared" si="5"/>
        <v>32538.934999999998</v>
      </c>
    </row>
    <row r="53" spans="1:17" ht="12.75">
      <c r="A53" s="56" t="s">
        <v>190</v>
      </c>
      <c r="B53" s="57" t="s">
        <v>45</v>
      </c>
      <c r="C53" s="58">
        <v>47850.624</v>
      </c>
      <c r="D53" s="58" t="s">
        <v>86</v>
      </c>
      <c r="E53">
        <f aca="true" t="shared" si="7" ref="E53:E73">+(C53-C$7)/C$8</f>
        <v>16385.982439556577</v>
      </c>
      <c r="F53">
        <f aca="true" t="shared" si="8" ref="F53:F73">ROUND(2*E53,0)/2</f>
        <v>16386</v>
      </c>
      <c r="G53">
        <f t="shared" si="2"/>
        <v>-0.021452799999678973</v>
      </c>
      <c r="I53">
        <f t="shared" si="6"/>
        <v>-0.021452799999678973</v>
      </c>
      <c r="O53">
        <f aca="true" t="shared" si="9" ref="O53:O73">+C$11+C$12*F53</f>
        <v>-0.026102197698310445</v>
      </c>
      <c r="Q53" s="2">
        <f aca="true" t="shared" si="10" ref="Q53:Q73">+C53-15018.5</f>
        <v>32832.124</v>
      </c>
    </row>
    <row r="54" spans="1:31" ht="12.75">
      <c r="A54" t="s">
        <v>42</v>
      </c>
      <c r="C54" s="21">
        <v>50727.608</v>
      </c>
      <c r="D54" s="21">
        <v>0.004</v>
      </c>
      <c r="E54">
        <f t="shared" si="7"/>
        <v>18740.971754050326</v>
      </c>
      <c r="F54">
        <f t="shared" si="8"/>
        <v>18741</v>
      </c>
      <c r="G54">
        <f t="shared" si="2"/>
        <v>-0.0345067999951425</v>
      </c>
      <c r="I54">
        <f t="shared" si="6"/>
        <v>-0.0345067999951425</v>
      </c>
      <c r="O54">
        <f t="shared" si="9"/>
        <v>-0.02726818474719779</v>
      </c>
      <c r="Q54" s="2">
        <f t="shared" si="10"/>
        <v>35709.108</v>
      </c>
      <c r="AA54">
        <v>31</v>
      </c>
      <c r="AC54" t="s">
        <v>41</v>
      </c>
      <c r="AE54" t="s">
        <v>30</v>
      </c>
    </row>
    <row r="55" spans="1:31" ht="12.75">
      <c r="A55" t="s">
        <v>44</v>
      </c>
      <c r="B55" s="5" t="s">
        <v>45</v>
      </c>
      <c r="C55" s="21">
        <v>50844.286</v>
      </c>
      <c r="D55" s="21">
        <v>0.003</v>
      </c>
      <c r="E55">
        <f t="shared" si="7"/>
        <v>18836.479912328752</v>
      </c>
      <c r="F55">
        <f t="shared" si="8"/>
        <v>18836.5</v>
      </c>
      <c r="G55">
        <f t="shared" si="2"/>
        <v>-0.024540200000046752</v>
      </c>
      <c r="I55">
        <f t="shared" si="6"/>
        <v>-0.024540200000046752</v>
      </c>
      <c r="O55">
        <f t="shared" si="9"/>
        <v>-0.027315467873808723</v>
      </c>
      <c r="Q55" s="2">
        <f t="shared" si="10"/>
        <v>35825.786</v>
      </c>
      <c r="AA55">
        <v>32</v>
      </c>
      <c r="AC55" t="s">
        <v>43</v>
      </c>
      <c r="AE55" t="s">
        <v>30</v>
      </c>
    </row>
    <row r="56" spans="1:18" ht="12.75">
      <c r="A56" t="s">
        <v>46</v>
      </c>
      <c r="B56" s="5" t="s">
        <v>47</v>
      </c>
      <c r="C56" s="22">
        <v>51195.5077</v>
      </c>
      <c r="D56" s="22">
        <v>0.0017</v>
      </c>
      <c r="E56">
        <f t="shared" si="7"/>
        <v>19123.976593060495</v>
      </c>
      <c r="F56">
        <f t="shared" si="8"/>
        <v>19124</v>
      </c>
      <c r="G56">
        <f t="shared" si="2"/>
        <v>-0.028595199997653253</v>
      </c>
      <c r="K56">
        <f>G56</f>
        <v>-0.028595199997653253</v>
      </c>
      <c r="O56">
        <f t="shared" si="9"/>
        <v>-0.027457812364914926</v>
      </c>
      <c r="Q56" s="2">
        <f t="shared" si="10"/>
        <v>36177.0077</v>
      </c>
      <c r="R56" t="s">
        <v>78</v>
      </c>
    </row>
    <row r="57" spans="1:18" ht="12.75">
      <c r="A57" t="s">
        <v>48</v>
      </c>
      <c r="B57" s="5" t="s">
        <v>47</v>
      </c>
      <c r="C57" s="22">
        <v>51608.4327</v>
      </c>
      <c r="D57" s="22">
        <v>0.0036</v>
      </c>
      <c r="E57">
        <f t="shared" si="7"/>
        <v>19461.98124052719</v>
      </c>
      <c r="F57">
        <f t="shared" si="8"/>
        <v>19462</v>
      </c>
      <c r="G57">
        <f t="shared" si="2"/>
        <v>-0.022917600006621797</v>
      </c>
      <c r="K57">
        <f>G57</f>
        <v>-0.022917600006621797</v>
      </c>
      <c r="O57">
        <f t="shared" si="9"/>
        <v>-0.02762515997532848</v>
      </c>
      <c r="Q57" s="2">
        <f t="shared" si="10"/>
        <v>36589.9327</v>
      </c>
      <c r="R57" t="s">
        <v>78</v>
      </c>
    </row>
    <row r="58" spans="1:17" ht="12.75">
      <c r="A58" s="56" t="s">
        <v>224</v>
      </c>
      <c r="B58" s="57" t="s">
        <v>47</v>
      </c>
      <c r="C58" s="58">
        <v>52310.267</v>
      </c>
      <c r="D58" s="58" t="s">
        <v>86</v>
      </c>
      <c r="E58">
        <f t="shared" si="7"/>
        <v>20036.476015974396</v>
      </c>
      <c r="F58">
        <f t="shared" si="8"/>
        <v>20036.5</v>
      </c>
      <c r="G58">
        <f t="shared" si="2"/>
        <v>-0.029300200003490318</v>
      </c>
      <c r="I58">
        <f>G58</f>
        <v>-0.029300200003490318</v>
      </c>
      <c r="O58">
        <f t="shared" si="9"/>
        <v>-0.027909601401904183</v>
      </c>
      <c r="Q58" s="2">
        <f t="shared" si="10"/>
        <v>37291.767</v>
      </c>
    </row>
    <row r="59" spans="1:18" ht="12.75">
      <c r="A59" s="10" t="s">
        <v>49</v>
      </c>
      <c r="B59" s="11" t="s">
        <v>47</v>
      </c>
      <c r="C59" s="22">
        <v>52645.613</v>
      </c>
      <c r="D59" s="23">
        <v>0.003</v>
      </c>
      <c r="E59">
        <f t="shared" si="7"/>
        <v>20310.97745451497</v>
      </c>
      <c r="F59">
        <f t="shared" si="8"/>
        <v>20311</v>
      </c>
      <c r="G59">
        <f t="shared" si="2"/>
        <v>-0.02754280000226572</v>
      </c>
      <c r="K59">
        <f>G59</f>
        <v>-0.02754280000226572</v>
      </c>
      <c r="O59">
        <f t="shared" si="9"/>
        <v>-0.02804550944645602</v>
      </c>
      <c r="Q59" s="2">
        <f t="shared" si="10"/>
        <v>37627.113</v>
      </c>
      <c r="R59" t="s">
        <v>78</v>
      </c>
    </row>
    <row r="60" spans="1:18" ht="12.75">
      <c r="A60" s="7" t="s">
        <v>50</v>
      </c>
      <c r="C60" s="21">
        <v>53015.7747</v>
      </c>
      <c r="D60" s="21">
        <v>0.0002</v>
      </c>
      <c r="E60">
        <f t="shared" si="7"/>
        <v>20613.977696481856</v>
      </c>
      <c r="F60">
        <f t="shared" si="8"/>
        <v>20614</v>
      </c>
      <c r="G60">
        <f t="shared" si="2"/>
        <v>-0.027247199999692384</v>
      </c>
      <c r="K60">
        <f>G60</f>
        <v>-0.027247199999692384</v>
      </c>
      <c r="O60">
        <f t="shared" si="9"/>
        <v>-0.02819552816230013</v>
      </c>
      <c r="Q60" s="2">
        <f t="shared" si="10"/>
        <v>37997.2747</v>
      </c>
      <c r="R60" t="s">
        <v>78</v>
      </c>
    </row>
    <row r="61" spans="1:18" ht="12.75">
      <c r="A61" s="13" t="s">
        <v>53</v>
      </c>
      <c r="B61" s="11" t="s">
        <v>47</v>
      </c>
      <c r="C61" s="22">
        <v>53379.8292</v>
      </c>
      <c r="D61" s="22">
        <v>0.0004</v>
      </c>
      <c r="E61">
        <f t="shared" si="7"/>
        <v>20911.97881758415</v>
      </c>
      <c r="F61">
        <f t="shared" si="8"/>
        <v>20912</v>
      </c>
      <c r="G61">
        <f t="shared" si="2"/>
        <v>-0.025877600004605483</v>
      </c>
      <c r="K61">
        <f>G61</f>
        <v>-0.025877600004605483</v>
      </c>
      <c r="O61">
        <f t="shared" si="9"/>
        <v>-0.028343071321777165</v>
      </c>
      <c r="Q61" s="2">
        <f t="shared" si="10"/>
        <v>38361.3292</v>
      </c>
      <c r="R61" t="s">
        <v>78</v>
      </c>
    </row>
    <row r="62" spans="1:21" ht="12.75">
      <c r="A62" s="17" t="s">
        <v>56</v>
      </c>
      <c r="B62" s="18" t="s">
        <v>45</v>
      </c>
      <c r="C62" s="19">
        <v>53385.295</v>
      </c>
      <c r="D62" s="19">
        <v>0.002</v>
      </c>
      <c r="E62">
        <f t="shared" si="7"/>
        <v>20916.452912885044</v>
      </c>
      <c r="F62">
        <f t="shared" si="8"/>
        <v>20916.5</v>
      </c>
      <c r="O62">
        <f t="shared" si="9"/>
        <v>-0.028345299322507525</v>
      </c>
      <c r="Q62" s="2">
        <f t="shared" si="10"/>
        <v>38366.795</v>
      </c>
      <c r="R62" t="s">
        <v>78</v>
      </c>
      <c r="U62" s="42">
        <v>-0.057524200004991144</v>
      </c>
    </row>
    <row r="63" spans="1:21" ht="12.75">
      <c r="A63" s="40" t="s">
        <v>75</v>
      </c>
      <c r="B63" s="41" t="s">
        <v>47</v>
      </c>
      <c r="C63" s="40">
        <v>53405.457</v>
      </c>
      <c r="D63" s="40">
        <v>0.006</v>
      </c>
      <c r="E63">
        <f t="shared" si="7"/>
        <v>20932.956756687734</v>
      </c>
      <c r="F63">
        <f t="shared" si="8"/>
        <v>20933</v>
      </c>
      <c r="O63">
        <f t="shared" si="9"/>
        <v>-0.028353468658518836</v>
      </c>
      <c r="Q63" s="2">
        <f t="shared" si="10"/>
        <v>38386.957</v>
      </c>
      <c r="R63" t="s">
        <v>86</v>
      </c>
      <c r="U63" s="42">
        <v>-0.052828399995632935</v>
      </c>
    </row>
    <row r="64" spans="1:18" ht="12.75">
      <c r="A64" s="17" t="s">
        <v>62</v>
      </c>
      <c r="B64" s="11" t="s">
        <v>45</v>
      </c>
      <c r="C64" s="14">
        <v>53451.2949</v>
      </c>
      <c r="D64" s="14">
        <v>0.0009</v>
      </c>
      <c r="E64">
        <f t="shared" si="7"/>
        <v>20970.477912418468</v>
      </c>
      <c r="F64">
        <f t="shared" si="8"/>
        <v>20970.5</v>
      </c>
      <c r="G64">
        <f aca="true" t="shared" si="11" ref="G64:G73">+C64-(C$7+F64*C$8)</f>
        <v>-0.026983399999153335</v>
      </c>
      <c r="K64">
        <f>G64</f>
        <v>-0.026983399999153335</v>
      </c>
      <c r="O64">
        <f t="shared" si="9"/>
        <v>-0.02837203533127182</v>
      </c>
      <c r="Q64" s="2">
        <f t="shared" si="10"/>
        <v>38432.7949</v>
      </c>
      <c r="R64" t="s">
        <v>78</v>
      </c>
    </row>
    <row r="65" spans="1:18" ht="12.75">
      <c r="A65" s="15" t="s">
        <v>55</v>
      </c>
      <c r="B65" s="16"/>
      <c r="C65" s="21">
        <v>53746.3226</v>
      </c>
      <c r="D65" s="21">
        <v>0.0007</v>
      </c>
      <c r="E65">
        <f t="shared" si="7"/>
        <v>21211.976329156158</v>
      </c>
      <c r="F65">
        <f t="shared" si="8"/>
        <v>21212</v>
      </c>
      <c r="G65">
        <f t="shared" si="11"/>
        <v>-0.0289176000005682</v>
      </c>
      <c r="J65">
        <f>G65</f>
        <v>-0.0289176000005682</v>
      </c>
      <c r="O65">
        <f t="shared" si="9"/>
        <v>-0.028491604703801035</v>
      </c>
      <c r="Q65" s="2">
        <f t="shared" si="10"/>
        <v>38727.8226</v>
      </c>
      <c r="R65" t="s">
        <v>80</v>
      </c>
    </row>
    <row r="66" spans="1:18" ht="12.75">
      <c r="A66" s="35" t="s">
        <v>63</v>
      </c>
      <c r="B66" s="5" t="s">
        <v>45</v>
      </c>
      <c r="C66" s="10">
        <v>54097.5466</v>
      </c>
      <c r="D66" s="10">
        <v>0.0005</v>
      </c>
      <c r="E66">
        <f t="shared" si="7"/>
        <v>21499.474892580132</v>
      </c>
      <c r="F66">
        <f t="shared" si="8"/>
        <v>21499.5</v>
      </c>
      <c r="G66">
        <f t="shared" si="11"/>
        <v>-0.030672599998069927</v>
      </c>
      <c r="K66">
        <f>G66</f>
        <v>-0.030672599998069927</v>
      </c>
      <c r="O66">
        <f t="shared" si="9"/>
        <v>-0.02863394919490724</v>
      </c>
      <c r="Q66" s="2">
        <f t="shared" si="10"/>
        <v>39079.0466</v>
      </c>
      <c r="R66" t="s">
        <v>303</v>
      </c>
    </row>
    <row r="67" spans="1:18" ht="12.75">
      <c r="A67" s="19" t="s">
        <v>64</v>
      </c>
      <c r="B67" s="11"/>
      <c r="C67" s="10">
        <v>54116.4849</v>
      </c>
      <c r="D67" s="10">
        <v>0.0007</v>
      </c>
      <c r="E67">
        <f t="shared" si="7"/>
        <v>21514.977062260143</v>
      </c>
      <c r="F67">
        <f t="shared" si="8"/>
        <v>21515</v>
      </c>
      <c r="G67">
        <f t="shared" si="11"/>
        <v>-0.028021999998600222</v>
      </c>
      <c r="J67">
        <f>G67</f>
        <v>-0.028021999998600222</v>
      </c>
      <c r="O67">
        <f t="shared" si="9"/>
        <v>-0.028641623419645136</v>
      </c>
      <c r="Q67" s="2">
        <f t="shared" si="10"/>
        <v>39097.9849</v>
      </c>
      <c r="R67" t="s">
        <v>80</v>
      </c>
    </row>
    <row r="68" spans="1:18" ht="12.75">
      <c r="A68" s="19" t="s">
        <v>64</v>
      </c>
      <c r="B68" s="11"/>
      <c r="C68" s="10">
        <v>54149.4705</v>
      </c>
      <c r="D68" s="10">
        <v>0.0011</v>
      </c>
      <c r="E68">
        <f t="shared" si="7"/>
        <v>21541.97781566446</v>
      </c>
      <c r="F68">
        <f t="shared" si="8"/>
        <v>21542</v>
      </c>
      <c r="G68">
        <f t="shared" si="11"/>
        <v>-0.027101599996967707</v>
      </c>
      <c r="J68">
        <f>G68</f>
        <v>-0.027101599996967707</v>
      </c>
      <c r="O68">
        <f t="shared" si="9"/>
        <v>-0.028654991424027283</v>
      </c>
      <c r="Q68" s="2">
        <f t="shared" si="10"/>
        <v>39130.9705</v>
      </c>
      <c r="R68" t="s">
        <v>80</v>
      </c>
    </row>
    <row r="69" spans="1:18" ht="12.75">
      <c r="A69" s="40" t="s">
        <v>68</v>
      </c>
      <c r="B69" s="41" t="s">
        <v>47</v>
      </c>
      <c r="C69" s="40">
        <v>54843.3693</v>
      </c>
      <c r="D69" s="40" t="s">
        <v>69</v>
      </c>
      <c r="E69">
        <f t="shared" si="7"/>
        <v>22109.9768936364</v>
      </c>
      <c r="F69">
        <f t="shared" si="8"/>
        <v>22110</v>
      </c>
      <c r="G69">
        <f t="shared" si="11"/>
        <v>-0.02822800000285497</v>
      </c>
      <c r="J69">
        <f>G69</f>
        <v>-0.02822800000285497</v>
      </c>
      <c r="O69">
        <f t="shared" si="9"/>
        <v>-0.028936214627325804</v>
      </c>
      <c r="Q69" s="2">
        <f t="shared" si="10"/>
        <v>39824.8693</v>
      </c>
      <c r="R69" t="s">
        <v>80</v>
      </c>
    </row>
    <row r="70" spans="1:18" ht="12.75">
      <c r="A70" s="40" t="s">
        <v>70</v>
      </c>
      <c r="B70" s="41" t="s">
        <v>47</v>
      </c>
      <c r="C70" s="40">
        <v>55201.3127</v>
      </c>
      <c r="D70" s="40" t="s">
        <v>71</v>
      </c>
      <c r="E70">
        <f t="shared" si="7"/>
        <v>22402.97570148294</v>
      </c>
      <c r="F70">
        <f t="shared" si="8"/>
        <v>22403</v>
      </c>
      <c r="G70">
        <f t="shared" si="11"/>
        <v>-0.029684399996767752</v>
      </c>
      <c r="J70">
        <f>G70</f>
        <v>-0.029684399996767752</v>
      </c>
      <c r="O70">
        <f t="shared" si="9"/>
        <v>-0.02908128223043578</v>
      </c>
      <c r="Q70" s="2">
        <f t="shared" si="10"/>
        <v>40182.8127</v>
      </c>
      <c r="R70" t="s">
        <v>80</v>
      </c>
    </row>
    <row r="71" spans="1:18" ht="12.75">
      <c r="A71" s="40" t="s">
        <v>72</v>
      </c>
      <c r="B71" s="41" t="s">
        <v>47</v>
      </c>
      <c r="C71" s="40">
        <v>55605.6807</v>
      </c>
      <c r="D71" s="40">
        <v>0.0006</v>
      </c>
      <c r="E71">
        <f t="shared" si="7"/>
        <v>22733.97591529129</v>
      </c>
      <c r="F71">
        <f t="shared" si="8"/>
        <v>22734</v>
      </c>
      <c r="G71">
        <f t="shared" si="11"/>
        <v>-0.02942320000147447</v>
      </c>
      <c r="K71">
        <f>G71</f>
        <v>-0.02942320000147447</v>
      </c>
      <c r="O71">
        <f t="shared" si="9"/>
        <v>-0.029245164061935447</v>
      </c>
      <c r="Q71" s="2">
        <f t="shared" si="10"/>
        <v>40587.1807</v>
      </c>
      <c r="R71" t="s">
        <v>78</v>
      </c>
    </row>
    <row r="72" spans="1:18" ht="12.75">
      <c r="A72" s="40" t="s">
        <v>73</v>
      </c>
      <c r="B72" s="41" t="s">
        <v>45</v>
      </c>
      <c r="C72" s="40">
        <v>55623.395</v>
      </c>
      <c r="D72" s="40" t="s">
        <v>74</v>
      </c>
      <c r="E72">
        <f t="shared" si="7"/>
        <v>22748.476165280073</v>
      </c>
      <c r="F72">
        <f t="shared" si="8"/>
        <v>22748.5</v>
      </c>
      <c r="G72">
        <f t="shared" si="11"/>
        <v>-0.02911780000431463</v>
      </c>
      <c r="J72">
        <f>G72</f>
        <v>-0.02911780000431463</v>
      </c>
      <c r="O72">
        <f t="shared" si="9"/>
        <v>-0.02925234317539993</v>
      </c>
      <c r="Q72" s="2">
        <f t="shared" si="10"/>
        <v>40604.895</v>
      </c>
      <c r="R72" t="s">
        <v>80</v>
      </c>
    </row>
    <row r="73" spans="1:17" ht="12.75">
      <c r="A73" s="56" t="s">
        <v>301</v>
      </c>
      <c r="B73" s="57" t="s">
        <v>45</v>
      </c>
      <c r="C73" s="58">
        <v>55907.4267</v>
      </c>
      <c r="D73" s="58" t="s">
        <v>86</v>
      </c>
      <c r="E73">
        <f t="shared" si="7"/>
        <v>22980.973676033525</v>
      </c>
      <c r="F73">
        <f t="shared" si="8"/>
        <v>22981</v>
      </c>
      <c r="G73">
        <f t="shared" si="11"/>
        <v>-0.032158800000615884</v>
      </c>
      <c r="K73">
        <f>G73</f>
        <v>-0.032158800000615884</v>
      </c>
      <c r="O73">
        <f t="shared" si="9"/>
        <v>-0.02936745654646843</v>
      </c>
      <c r="Q73" s="2">
        <f t="shared" si="10"/>
        <v>40888.9267</v>
      </c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5">
      <selection activeCell="A40" sqref="A40:D62"/>
    </sheetView>
  </sheetViews>
  <sheetFormatPr defaultColWidth="9.140625" defaultRowHeight="12.75"/>
  <cols>
    <col min="1" max="1" width="19.7109375" style="10" customWidth="1"/>
    <col min="2" max="2" width="4.421875" style="15" customWidth="1"/>
    <col min="3" max="3" width="12.7109375" style="10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0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3" t="s">
        <v>76</v>
      </c>
      <c r="I1" s="44" t="s">
        <v>77</v>
      </c>
      <c r="J1" s="45" t="s">
        <v>78</v>
      </c>
    </row>
    <row r="2" spans="9:10" ht="12.75">
      <c r="I2" s="46" t="s">
        <v>79</v>
      </c>
      <c r="J2" s="47" t="s">
        <v>80</v>
      </c>
    </row>
    <row r="3" spans="1:10" ht="12.75">
      <c r="A3" s="48" t="s">
        <v>81</v>
      </c>
      <c r="I3" s="46" t="s">
        <v>82</v>
      </c>
      <c r="J3" s="47" t="s">
        <v>83</v>
      </c>
    </row>
    <row r="4" spans="9:10" ht="12.75">
      <c r="I4" s="46" t="s">
        <v>84</v>
      </c>
      <c r="J4" s="47" t="s">
        <v>83</v>
      </c>
    </row>
    <row r="5" spans="9:10" ht="13.5" thickBot="1">
      <c r="I5" s="49" t="s">
        <v>85</v>
      </c>
      <c r="J5" s="50" t="s">
        <v>86</v>
      </c>
    </row>
    <row r="10" ht="13.5" thickBot="1"/>
    <row r="11" spans="1:16" ht="12.75" customHeight="1" thickBot="1">
      <c r="A11" s="10" t="str">
        <f aca="true" t="shared" si="0" ref="A11:A42">P11</f>
        <v> BBS 21 </v>
      </c>
      <c r="B11" s="5" t="str">
        <f aca="true" t="shared" si="1" ref="B11:B42">IF(H11=INT(H11),"I","II")</f>
        <v>II</v>
      </c>
      <c r="C11" s="10">
        <f aca="true" t="shared" si="2" ref="C11:C42">1*G11</f>
        <v>42453.352</v>
      </c>
      <c r="D11" s="15" t="str">
        <f aca="true" t="shared" si="3" ref="D11:D42">VLOOKUP(F11,I$1:J$5,2,FALSE)</f>
        <v>vis</v>
      </c>
      <c r="E11" s="51">
        <f>VLOOKUP(C11,A!C$21:E$973,3,FALSE)</f>
        <v>11967.981544377348</v>
      </c>
      <c r="F11" s="5" t="s">
        <v>85</v>
      </c>
      <c r="G11" s="15" t="str">
        <f aca="true" t="shared" si="4" ref="G11:G42">MID(I11,3,LEN(I11)-3)</f>
        <v>42453.352</v>
      </c>
      <c r="H11" s="10">
        <f aca="true" t="shared" si="5" ref="H11:H42">1*K11</f>
        <v>11967.5</v>
      </c>
      <c r="I11" s="52" t="s">
        <v>138</v>
      </c>
      <c r="J11" s="53" t="s">
        <v>139</v>
      </c>
      <c r="K11" s="52">
        <v>11967.5</v>
      </c>
      <c r="L11" s="52" t="s">
        <v>140</v>
      </c>
      <c r="M11" s="53" t="s">
        <v>141</v>
      </c>
      <c r="N11" s="53"/>
      <c r="O11" s="54" t="s">
        <v>142</v>
      </c>
      <c r="P11" s="54" t="s">
        <v>143</v>
      </c>
    </row>
    <row r="12" spans="1:16" ht="12.75" customHeight="1" thickBot="1">
      <c r="A12" s="10" t="str">
        <f t="shared" si="0"/>
        <v> BBS 21 </v>
      </c>
      <c r="B12" s="5" t="str">
        <f t="shared" si="1"/>
        <v>II</v>
      </c>
      <c r="C12" s="10">
        <f t="shared" si="2"/>
        <v>42475.347</v>
      </c>
      <c r="D12" s="15" t="str">
        <f t="shared" si="3"/>
        <v>vis</v>
      </c>
      <c r="E12" s="51">
        <f>VLOOKUP(C12,A!C$21:E$973,3,FALSE)</f>
        <v>11985.985812031355</v>
      </c>
      <c r="F12" s="5" t="s">
        <v>85</v>
      </c>
      <c r="G12" s="15" t="str">
        <f t="shared" si="4"/>
        <v>42475.347</v>
      </c>
      <c r="H12" s="10">
        <f t="shared" si="5"/>
        <v>11985.5</v>
      </c>
      <c r="I12" s="52" t="s">
        <v>144</v>
      </c>
      <c r="J12" s="53" t="s">
        <v>145</v>
      </c>
      <c r="K12" s="52">
        <v>11985.5</v>
      </c>
      <c r="L12" s="52" t="s">
        <v>146</v>
      </c>
      <c r="M12" s="53" t="s">
        <v>141</v>
      </c>
      <c r="N12" s="53"/>
      <c r="O12" s="54" t="s">
        <v>147</v>
      </c>
      <c r="P12" s="54" t="s">
        <v>143</v>
      </c>
    </row>
    <row r="13" spans="1:16" ht="12.75" customHeight="1" thickBot="1">
      <c r="A13" s="10" t="str">
        <f t="shared" si="0"/>
        <v> BBS 24 </v>
      </c>
      <c r="B13" s="5" t="str">
        <f t="shared" si="1"/>
        <v>II</v>
      </c>
      <c r="C13" s="10">
        <f t="shared" si="2"/>
        <v>42669.585</v>
      </c>
      <c r="D13" s="15" t="str">
        <f t="shared" si="3"/>
        <v>vis</v>
      </c>
      <c r="E13" s="51">
        <f>VLOOKUP(C13,A!C$21:E$973,3,FALSE)</f>
        <v>12144.981626560955</v>
      </c>
      <c r="F13" s="5" t="s">
        <v>85</v>
      </c>
      <c r="G13" s="15" t="str">
        <f t="shared" si="4"/>
        <v>42669.585</v>
      </c>
      <c r="H13" s="10">
        <f t="shared" si="5"/>
        <v>12144.5</v>
      </c>
      <c r="I13" s="52" t="s">
        <v>148</v>
      </c>
      <c r="J13" s="53" t="s">
        <v>149</v>
      </c>
      <c r="K13" s="52">
        <v>12144.5</v>
      </c>
      <c r="L13" s="52" t="s">
        <v>140</v>
      </c>
      <c r="M13" s="53" t="s">
        <v>141</v>
      </c>
      <c r="N13" s="53"/>
      <c r="O13" s="54" t="s">
        <v>147</v>
      </c>
      <c r="P13" s="54" t="s">
        <v>150</v>
      </c>
    </row>
    <row r="14" spans="1:16" ht="12.75" customHeight="1" thickBot="1">
      <c r="A14" s="10" t="str">
        <f t="shared" si="0"/>
        <v> BBS 26 </v>
      </c>
      <c r="B14" s="5" t="str">
        <f t="shared" si="1"/>
        <v>II</v>
      </c>
      <c r="C14" s="10">
        <f t="shared" si="2"/>
        <v>42806.431</v>
      </c>
      <c r="D14" s="15" t="str">
        <f t="shared" si="3"/>
        <v>vis</v>
      </c>
      <c r="E14" s="51">
        <f>VLOOKUP(C14,A!C$21:E$973,3,FALSE)</f>
        <v>12256.9985400131</v>
      </c>
      <c r="F14" s="5" t="s">
        <v>85</v>
      </c>
      <c r="G14" s="15" t="str">
        <f t="shared" si="4"/>
        <v>42806.431</v>
      </c>
      <c r="H14" s="10">
        <f t="shared" si="5"/>
        <v>12256.5</v>
      </c>
      <c r="I14" s="52" t="s">
        <v>151</v>
      </c>
      <c r="J14" s="53" t="s">
        <v>152</v>
      </c>
      <c r="K14" s="52">
        <v>12256.5</v>
      </c>
      <c r="L14" s="52" t="s">
        <v>153</v>
      </c>
      <c r="M14" s="53" t="s">
        <v>141</v>
      </c>
      <c r="N14" s="53"/>
      <c r="O14" s="54" t="s">
        <v>147</v>
      </c>
      <c r="P14" s="54" t="s">
        <v>154</v>
      </c>
    </row>
    <row r="15" spans="1:16" ht="12.75" customHeight="1" thickBot="1">
      <c r="A15" s="10" t="str">
        <f t="shared" si="0"/>
        <v> BBS 30 </v>
      </c>
      <c r="B15" s="5" t="str">
        <f t="shared" si="1"/>
        <v>II</v>
      </c>
      <c r="C15" s="10">
        <f t="shared" si="2"/>
        <v>43044.642</v>
      </c>
      <c r="D15" s="15" t="str">
        <f t="shared" si="3"/>
        <v>vis</v>
      </c>
      <c r="E15" s="51">
        <f>VLOOKUP(C15,A!C$21:E$973,3,FALSE)</f>
        <v>12451.988974299451</v>
      </c>
      <c r="F15" s="5" t="s">
        <v>85</v>
      </c>
      <c r="G15" s="15" t="str">
        <f t="shared" si="4"/>
        <v>43044.642</v>
      </c>
      <c r="H15" s="10">
        <f t="shared" si="5"/>
        <v>12451.5</v>
      </c>
      <c r="I15" s="52" t="s">
        <v>155</v>
      </c>
      <c r="J15" s="53" t="s">
        <v>156</v>
      </c>
      <c r="K15" s="52">
        <v>12451.5</v>
      </c>
      <c r="L15" s="52" t="s">
        <v>157</v>
      </c>
      <c r="M15" s="53" t="s">
        <v>141</v>
      </c>
      <c r="N15" s="53"/>
      <c r="O15" s="54" t="s">
        <v>147</v>
      </c>
      <c r="P15" s="54" t="s">
        <v>158</v>
      </c>
    </row>
    <row r="16" spans="1:16" ht="12.75" customHeight="1" thickBot="1">
      <c r="A16" s="10" t="str">
        <f t="shared" si="0"/>
        <v> BBS 53 </v>
      </c>
      <c r="B16" s="5" t="str">
        <f t="shared" si="1"/>
        <v>II</v>
      </c>
      <c r="C16" s="10">
        <f t="shared" si="2"/>
        <v>44691.444</v>
      </c>
      <c r="D16" s="15" t="str">
        <f t="shared" si="3"/>
        <v>vis</v>
      </c>
      <c r="E16" s="51">
        <f>VLOOKUP(C16,A!C$21:E$973,3,FALSE)</f>
        <v>13799.998248277667</v>
      </c>
      <c r="F16" s="5" t="s">
        <v>85</v>
      </c>
      <c r="G16" s="15" t="str">
        <f t="shared" si="4"/>
        <v>44691.444</v>
      </c>
      <c r="H16" s="10">
        <f t="shared" si="5"/>
        <v>13799.5</v>
      </c>
      <c r="I16" s="52" t="s">
        <v>159</v>
      </c>
      <c r="J16" s="53" t="s">
        <v>160</v>
      </c>
      <c r="K16" s="52">
        <v>13799.5</v>
      </c>
      <c r="L16" s="52" t="s">
        <v>153</v>
      </c>
      <c r="M16" s="53" t="s">
        <v>141</v>
      </c>
      <c r="N16" s="53"/>
      <c r="O16" s="54" t="s">
        <v>147</v>
      </c>
      <c r="P16" s="54" t="s">
        <v>161</v>
      </c>
    </row>
    <row r="17" spans="1:16" ht="12.75" customHeight="1" thickBot="1">
      <c r="A17" s="10" t="str">
        <f t="shared" si="0"/>
        <v> BBS 57 </v>
      </c>
      <c r="B17" s="5" t="str">
        <f t="shared" si="1"/>
        <v>II</v>
      </c>
      <c r="C17" s="10">
        <f t="shared" si="2"/>
        <v>44885.67</v>
      </c>
      <c r="D17" s="15" t="str">
        <f t="shared" si="3"/>
        <v>vis</v>
      </c>
      <c r="E17" s="51">
        <f>VLOOKUP(C17,A!C$21:E$973,3,FALSE)</f>
        <v>13958.984240065196</v>
      </c>
      <c r="F17" s="5" t="s">
        <v>85</v>
      </c>
      <c r="G17" s="15" t="str">
        <f t="shared" si="4"/>
        <v>44885.670</v>
      </c>
      <c r="H17" s="10">
        <f t="shared" si="5"/>
        <v>13958.5</v>
      </c>
      <c r="I17" s="52" t="s">
        <v>162</v>
      </c>
      <c r="J17" s="53" t="s">
        <v>163</v>
      </c>
      <c r="K17" s="52">
        <v>13958.5</v>
      </c>
      <c r="L17" s="52" t="s">
        <v>164</v>
      </c>
      <c r="M17" s="53" t="s">
        <v>141</v>
      </c>
      <c r="N17" s="53"/>
      <c r="O17" s="54" t="s">
        <v>147</v>
      </c>
      <c r="P17" s="54" t="s">
        <v>165</v>
      </c>
    </row>
    <row r="18" spans="1:16" ht="12.75" customHeight="1" thickBot="1">
      <c r="A18" s="10" t="str">
        <f t="shared" si="0"/>
        <v> BBS 58 </v>
      </c>
      <c r="B18" s="5" t="str">
        <f t="shared" si="1"/>
        <v>II</v>
      </c>
      <c r="C18" s="10">
        <f t="shared" si="2"/>
        <v>44989.532</v>
      </c>
      <c r="D18" s="15" t="str">
        <f t="shared" si="3"/>
        <v>vis</v>
      </c>
      <c r="E18" s="51">
        <f>VLOOKUP(C18,A!C$21:E$973,3,FALSE)</f>
        <v>14044.00170981197</v>
      </c>
      <c r="F18" s="5" t="s">
        <v>85</v>
      </c>
      <c r="G18" s="15" t="str">
        <f t="shared" si="4"/>
        <v>44989.532</v>
      </c>
      <c r="H18" s="10">
        <f t="shared" si="5"/>
        <v>14043.5</v>
      </c>
      <c r="I18" s="52" t="s">
        <v>166</v>
      </c>
      <c r="J18" s="53" t="s">
        <v>167</v>
      </c>
      <c r="K18" s="52">
        <v>14043.5</v>
      </c>
      <c r="L18" s="52" t="s">
        <v>168</v>
      </c>
      <c r="M18" s="53" t="s">
        <v>141</v>
      </c>
      <c r="N18" s="53"/>
      <c r="O18" s="54" t="s">
        <v>147</v>
      </c>
      <c r="P18" s="54" t="s">
        <v>169</v>
      </c>
    </row>
    <row r="19" spans="1:16" ht="12.75" customHeight="1" thickBot="1">
      <c r="A19" s="10" t="str">
        <f t="shared" si="0"/>
        <v> BBS 59 </v>
      </c>
      <c r="B19" s="5" t="str">
        <f t="shared" si="1"/>
        <v>II</v>
      </c>
      <c r="C19" s="10">
        <f t="shared" si="2"/>
        <v>45010.298</v>
      </c>
      <c r="D19" s="15" t="str">
        <f t="shared" si="3"/>
        <v>vis</v>
      </c>
      <c r="E19" s="51">
        <f>VLOOKUP(C19,A!C$21:E$973,3,FALSE)</f>
        <v>14060.999964965555</v>
      </c>
      <c r="F19" s="5" t="s">
        <v>85</v>
      </c>
      <c r="G19" s="15" t="str">
        <f t="shared" si="4"/>
        <v>45010.298</v>
      </c>
      <c r="H19" s="10">
        <f t="shared" si="5"/>
        <v>14060.5</v>
      </c>
      <c r="I19" s="52" t="s">
        <v>170</v>
      </c>
      <c r="J19" s="53" t="s">
        <v>171</v>
      </c>
      <c r="K19" s="52">
        <v>14060.5</v>
      </c>
      <c r="L19" s="52" t="s">
        <v>172</v>
      </c>
      <c r="M19" s="53" t="s">
        <v>141</v>
      </c>
      <c r="N19" s="53"/>
      <c r="O19" s="54" t="s">
        <v>147</v>
      </c>
      <c r="P19" s="54" t="s">
        <v>173</v>
      </c>
    </row>
    <row r="20" spans="1:16" ht="12.75" customHeight="1" thickBot="1">
      <c r="A20" s="10" t="str">
        <f t="shared" si="0"/>
        <v> BBS 65 </v>
      </c>
      <c r="B20" s="5" t="str">
        <f t="shared" si="1"/>
        <v>II</v>
      </c>
      <c r="C20" s="10">
        <f t="shared" si="2"/>
        <v>45385.333</v>
      </c>
      <c r="D20" s="15" t="str">
        <f t="shared" si="3"/>
        <v>vis</v>
      </c>
      <c r="E20" s="51">
        <f>VLOOKUP(C20,A!C$21:E$973,3,FALSE)</f>
        <v>14367.989304343582</v>
      </c>
      <c r="F20" s="5" t="s">
        <v>85</v>
      </c>
      <c r="G20" s="15" t="str">
        <f t="shared" si="4"/>
        <v>45385.333</v>
      </c>
      <c r="H20" s="10">
        <f t="shared" si="5"/>
        <v>14367.5</v>
      </c>
      <c r="I20" s="52" t="s">
        <v>174</v>
      </c>
      <c r="J20" s="53" t="s">
        <v>175</v>
      </c>
      <c r="K20" s="52">
        <v>14367.5</v>
      </c>
      <c r="L20" s="52" t="s">
        <v>176</v>
      </c>
      <c r="M20" s="53" t="s">
        <v>141</v>
      </c>
      <c r="N20" s="53"/>
      <c r="O20" s="54" t="s">
        <v>147</v>
      </c>
      <c r="P20" s="54" t="s">
        <v>177</v>
      </c>
    </row>
    <row r="21" spans="1:16" ht="12.75" customHeight="1" thickBot="1">
      <c r="A21" s="10" t="str">
        <f t="shared" si="0"/>
        <v> BBS 81 </v>
      </c>
      <c r="B21" s="5" t="str">
        <f t="shared" si="1"/>
        <v>II</v>
      </c>
      <c r="C21" s="10">
        <f t="shared" si="2"/>
        <v>46676.611</v>
      </c>
      <c r="D21" s="15" t="str">
        <f t="shared" si="3"/>
        <v>vis</v>
      </c>
      <c r="E21" s="51">
        <f>VLOOKUP(C21,A!C$21:E$973,3,FALSE)</f>
        <v>15424.980198989106</v>
      </c>
      <c r="F21" s="5" t="s">
        <v>85</v>
      </c>
      <c r="G21" s="15" t="str">
        <f t="shared" si="4"/>
        <v>46676.611</v>
      </c>
      <c r="H21" s="10">
        <f t="shared" si="5"/>
        <v>15424.5</v>
      </c>
      <c r="I21" s="52" t="s">
        <v>178</v>
      </c>
      <c r="J21" s="53" t="s">
        <v>179</v>
      </c>
      <c r="K21" s="52">
        <v>15424.5</v>
      </c>
      <c r="L21" s="52" t="s">
        <v>180</v>
      </c>
      <c r="M21" s="53" t="s">
        <v>141</v>
      </c>
      <c r="N21" s="53"/>
      <c r="O21" s="54" t="s">
        <v>147</v>
      </c>
      <c r="P21" s="54" t="s">
        <v>181</v>
      </c>
    </row>
    <row r="22" spans="1:16" ht="12.75" customHeight="1" thickBot="1">
      <c r="A22" s="10" t="str">
        <f t="shared" si="0"/>
        <v> BBS 118 </v>
      </c>
      <c r="B22" s="5" t="str">
        <f t="shared" si="1"/>
        <v>II</v>
      </c>
      <c r="C22" s="10">
        <f t="shared" si="2"/>
        <v>50727.608</v>
      </c>
      <c r="D22" s="15" t="str">
        <f t="shared" si="3"/>
        <v>vis</v>
      </c>
      <c r="E22" s="51">
        <f>VLOOKUP(C22,A!C$21:E$973,3,FALSE)</f>
        <v>18740.971754050326</v>
      </c>
      <c r="F22" s="5" t="s">
        <v>85</v>
      </c>
      <c r="G22" s="15" t="str">
        <f t="shared" si="4"/>
        <v>50727.608</v>
      </c>
      <c r="H22" s="10">
        <f t="shared" si="5"/>
        <v>18740.5</v>
      </c>
      <c r="I22" s="52" t="s">
        <v>200</v>
      </c>
      <c r="J22" s="53" t="s">
        <v>201</v>
      </c>
      <c r="K22" s="52">
        <v>18740.5</v>
      </c>
      <c r="L22" s="52" t="s">
        <v>202</v>
      </c>
      <c r="M22" s="53" t="s">
        <v>203</v>
      </c>
      <c r="N22" s="53" t="s">
        <v>204</v>
      </c>
      <c r="O22" s="54" t="s">
        <v>205</v>
      </c>
      <c r="P22" s="54" t="s">
        <v>206</v>
      </c>
    </row>
    <row r="23" spans="1:16" ht="12.75" customHeight="1" thickBot="1">
      <c r="A23" s="10" t="str">
        <f t="shared" si="0"/>
        <v> BBS 117 </v>
      </c>
      <c r="B23" s="5" t="str">
        <f t="shared" si="1"/>
        <v>I</v>
      </c>
      <c r="C23" s="10">
        <f t="shared" si="2"/>
        <v>50844.286</v>
      </c>
      <c r="D23" s="15" t="str">
        <f t="shared" si="3"/>
        <v>vis</v>
      </c>
      <c r="E23" s="51">
        <f>VLOOKUP(C23,A!C$21:E$973,3,FALSE)</f>
        <v>18836.479912328752</v>
      </c>
      <c r="F23" s="5" t="s">
        <v>85</v>
      </c>
      <c r="G23" s="15" t="str">
        <f t="shared" si="4"/>
        <v>50844.286</v>
      </c>
      <c r="H23" s="10">
        <f t="shared" si="5"/>
        <v>18836</v>
      </c>
      <c r="I23" s="52" t="s">
        <v>207</v>
      </c>
      <c r="J23" s="53" t="s">
        <v>208</v>
      </c>
      <c r="K23" s="52">
        <v>18836</v>
      </c>
      <c r="L23" s="52" t="s">
        <v>209</v>
      </c>
      <c r="M23" s="53" t="s">
        <v>203</v>
      </c>
      <c r="N23" s="53" t="s">
        <v>204</v>
      </c>
      <c r="O23" s="54" t="s">
        <v>210</v>
      </c>
      <c r="P23" s="54" t="s">
        <v>211</v>
      </c>
    </row>
    <row r="24" spans="1:16" ht="12.75" customHeight="1" thickBot="1">
      <c r="A24" s="10" t="str">
        <f t="shared" si="0"/>
        <v>IBVS 5263 </v>
      </c>
      <c r="B24" s="5" t="str">
        <f t="shared" si="1"/>
        <v>II</v>
      </c>
      <c r="C24" s="10">
        <f t="shared" si="2"/>
        <v>51195.5077</v>
      </c>
      <c r="D24" s="15" t="str">
        <f t="shared" si="3"/>
        <v>vis</v>
      </c>
      <c r="E24" s="51">
        <f>VLOOKUP(C24,A!C$21:E$973,3,FALSE)</f>
        <v>19123.976593060495</v>
      </c>
      <c r="F24" s="5" t="s">
        <v>85</v>
      </c>
      <c r="G24" s="15" t="str">
        <f t="shared" si="4"/>
        <v>51195.5077</v>
      </c>
      <c r="H24" s="10">
        <f t="shared" si="5"/>
        <v>19123.5</v>
      </c>
      <c r="I24" s="52" t="s">
        <v>212</v>
      </c>
      <c r="J24" s="53" t="s">
        <v>213</v>
      </c>
      <c r="K24" s="52">
        <v>19123.5</v>
      </c>
      <c r="L24" s="52" t="s">
        <v>214</v>
      </c>
      <c r="M24" s="53" t="s">
        <v>203</v>
      </c>
      <c r="N24" s="53" t="s">
        <v>204</v>
      </c>
      <c r="O24" s="54" t="s">
        <v>215</v>
      </c>
      <c r="P24" s="55" t="s">
        <v>216</v>
      </c>
    </row>
    <row r="25" spans="1:16" ht="12.75" customHeight="1" thickBot="1">
      <c r="A25" s="10" t="str">
        <f t="shared" si="0"/>
        <v>IBVS 5287 </v>
      </c>
      <c r="B25" s="5" t="str">
        <f t="shared" si="1"/>
        <v>II</v>
      </c>
      <c r="C25" s="10">
        <f t="shared" si="2"/>
        <v>51608.4327</v>
      </c>
      <c r="D25" s="15" t="str">
        <f t="shared" si="3"/>
        <v>vis</v>
      </c>
      <c r="E25" s="51">
        <f>VLOOKUP(C25,A!C$21:E$973,3,FALSE)</f>
        <v>19461.98124052719</v>
      </c>
      <c r="F25" s="5" t="s">
        <v>85</v>
      </c>
      <c r="G25" s="15" t="str">
        <f t="shared" si="4"/>
        <v>51608.4327</v>
      </c>
      <c r="H25" s="10">
        <f t="shared" si="5"/>
        <v>19461.5</v>
      </c>
      <c r="I25" s="52" t="s">
        <v>217</v>
      </c>
      <c r="J25" s="53" t="s">
        <v>218</v>
      </c>
      <c r="K25" s="52">
        <v>19461.5</v>
      </c>
      <c r="L25" s="52" t="s">
        <v>219</v>
      </c>
      <c r="M25" s="53" t="s">
        <v>203</v>
      </c>
      <c r="N25" s="53" t="s">
        <v>204</v>
      </c>
      <c r="O25" s="54" t="s">
        <v>215</v>
      </c>
      <c r="P25" s="55" t="s">
        <v>220</v>
      </c>
    </row>
    <row r="26" spans="1:16" ht="12.75" customHeight="1" thickBot="1">
      <c r="A26" s="10" t="str">
        <f t="shared" si="0"/>
        <v>IBVS 5502 </v>
      </c>
      <c r="B26" s="5" t="str">
        <f t="shared" si="1"/>
        <v>II</v>
      </c>
      <c r="C26" s="10">
        <f t="shared" si="2"/>
        <v>52645.613</v>
      </c>
      <c r="D26" s="15" t="str">
        <f t="shared" si="3"/>
        <v>vis</v>
      </c>
      <c r="E26" s="51">
        <f>VLOOKUP(C26,A!C$21:E$973,3,FALSE)</f>
        <v>20310.97745451497</v>
      </c>
      <c r="F26" s="5" t="s">
        <v>85</v>
      </c>
      <c r="G26" s="15" t="str">
        <f t="shared" si="4"/>
        <v>52645.613</v>
      </c>
      <c r="H26" s="10">
        <f t="shared" si="5"/>
        <v>20310.5</v>
      </c>
      <c r="I26" s="52" t="s">
        <v>225</v>
      </c>
      <c r="J26" s="53" t="s">
        <v>226</v>
      </c>
      <c r="K26" s="52">
        <v>20310.5</v>
      </c>
      <c r="L26" s="52" t="s">
        <v>227</v>
      </c>
      <c r="M26" s="53" t="s">
        <v>203</v>
      </c>
      <c r="N26" s="53" t="s">
        <v>204</v>
      </c>
      <c r="O26" s="54" t="s">
        <v>228</v>
      </c>
      <c r="P26" s="55" t="s">
        <v>229</v>
      </c>
    </row>
    <row r="27" spans="1:16" ht="12.75" customHeight="1" thickBot="1">
      <c r="A27" s="10" t="str">
        <f t="shared" si="0"/>
        <v>IBVS 5602 </v>
      </c>
      <c r="B27" s="5" t="str">
        <f t="shared" si="1"/>
        <v>II</v>
      </c>
      <c r="C27" s="10">
        <f t="shared" si="2"/>
        <v>53015.7747</v>
      </c>
      <c r="D27" s="15" t="str">
        <f t="shared" si="3"/>
        <v>vis</v>
      </c>
      <c r="E27" s="51">
        <f>VLOOKUP(C27,A!C$21:E$973,3,FALSE)</f>
        <v>20613.977696481856</v>
      </c>
      <c r="F27" s="5" t="s">
        <v>85</v>
      </c>
      <c r="G27" s="15" t="str">
        <f t="shared" si="4"/>
        <v>53015.7747</v>
      </c>
      <c r="H27" s="10">
        <f t="shared" si="5"/>
        <v>20613.5</v>
      </c>
      <c r="I27" s="52" t="s">
        <v>230</v>
      </c>
      <c r="J27" s="53" t="s">
        <v>231</v>
      </c>
      <c r="K27" s="52">
        <v>20613.5</v>
      </c>
      <c r="L27" s="52" t="s">
        <v>232</v>
      </c>
      <c r="M27" s="53" t="s">
        <v>203</v>
      </c>
      <c r="N27" s="53" t="s">
        <v>204</v>
      </c>
      <c r="O27" s="54" t="s">
        <v>233</v>
      </c>
      <c r="P27" s="55" t="s">
        <v>234</v>
      </c>
    </row>
    <row r="28" spans="1:16" ht="12.75" customHeight="1" thickBot="1">
      <c r="A28" s="10" t="str">
        <f t="shared" si="0"/>
        <v>IBVS 5677 </v>
      </c>
      <c r="B28" s="5" t="str">
        <f t="shared" si="1"/>
        <v>II</v>
      </c>
      <c r="C28" s="10">
        <f t="shared" si="2"/>
        <v>53379.8292</v>
      </c>
      <c r="D28" s="15" t="str">
        <f t="shared" si="3"/>
        <v>vis</v>
      </c>
      <c r="E28" s="51">
        <f>VLOOKUP(C28,A!C$21:E$973,3,FALSE)</f>
        <v>20911.97881758415</v>
      </c>
      <c r="F28" s="5" t="s">
        <v>85</v>
      </c>
      <c r="G28" s="15" t="str">
        <f t="shared" si="4"/>
        <v>53379.8292</v>
      </c>
      <c r="H28" s="10">
        <f t="shared" si="5"/>
        <v>20911.5</v>
      </c>
      <c r="I28" s="52" t="s">
        <v>235</v>
      </c>
      <c r="J28" s="53" t="s">
        <v>236</v>
      </c>
      <c r="K28" s="52">
        <v>20911.5</v>
      </c>
      <c r="L28" s="52" t="s">
        <v>237</v>
      </c>
      <c r="M28" s="53" t="s">
        <v>203</v>
      </c>
      <c r="N28" s="53" t="s">
        <v>204</v>
      </c>
      <c r="O28" s="54" t="s">
        <v>238</v>
      </c>
      <c r="P28" s="55" t="s">
        <v>239</v>
      </c>
    </row>
    <row r="29" spans="1:16" ht="12.75" customHeight="1" thickBot="1">
      <c r="A29" s="10" t="str">
        <f t="shared" si="0"/>
        <v>IBVS 5653 </v>
      </c>
      <c r="B29" s="5" t="str">
        <f t="shared" si="1"/>
        <v>I</v>
      </c>
      <c r="C29" s="10">
        <f t="shared" si="2"/>
        <v>53385.295</v>
      </c>
      <c r="D29" s="15" t="str">
        <f t="shared" si="3"/>
        <v>vis</v>
      </c>
      <c r="E29" s="51">
        <f>VLOOKUP(C29,A!C$21:E$973,3,FALSE)</f>
        <v>20916.452912885044</v>
      </c>
      <c r="F29" s="5" t="s">
        <v>85</v>
      </c>
      <c r="G29" s="15" t="str">
        <f t="shared" si="4"/>
        <v>53385.295</v>
      </c>
      <c r="H29" s="10">
        <f t="shared" si="5"/>
        <v>20916</v>
      </c>
      <c r="I29" s="52" t="s">
        <v>240</v>
      </c>
      <c r="J29" s="53" t="s">
        <v>241</v>
      </c>
      <c r="K29" s="52">
        <v>20916</v>
      </c>
      <c r="L29" s="52" t="s">
        <v>242</v>
      </c>
      <c r="M29" s="53" t="s">
        <v>203</v>
      </c>
      <c r="N29" s="53" t="s">
        <v>204</v>
      </c>
      <c r="O29" s="54" t="s">
        <v>243</v>
      </c>
      <c r="P29" s="55" t="s">
        <v>244</v>
      </c>
    </row>
    <row r="30" spans="1:16" ht="12.75" customHeight="1" thickBot="1">
      <c r="A30" s="10" t="str">
        <f t="shared" si="0"/>
        <v>OEJV 0003 </v>
      </c>
      <c r="B30" s="5" t="str">
        <f t="shared" si="1"/>
        <v>II</v>
      </c>
      <c r="C30" s="10">
        <f t="shared" si="2"/>
        <v>53405.457</v>
      </c>
      <c r="D30" s="15" t="str">
        <f t="shared" si="3"/>
        <v>vis</v>
      </c>
      <c r="E30" s="51">
        <f>VLOOKUP(C30,A!C$21:E$973,3,FALSE)</f>
        <v>20932.956756687734</v>
      </c>
      <c r="F30" s="5" t="s">
        <v>85</v>
      </c>
      <c r="G30" s="15" t="str">
        <f t="shared" si="4"/>
        <v>53405.457</v>
      </c>
      <c r="H30" s="10">
        <f t="shared" si="5"/>
        <v>20932.5</v>
      </c>
      <c r="I30" s="52" t="s">
        <v>245</v>
      </c>
      <c r="J30" s="53" t="s">
        <v>246</v>
      </c>
      <c r="K30" s="52">
        <v>20932.5</v>
      </c>
      <c r="L30" s="52" t="s">
        <v>247</v>
      </c>
      <c r="M30" s="53" t="s">
        <v>141</v>
      </c>
      <c r="N30" s="53"/>
      <c r="O30" s="54" t="s">
        <v>147</v>
      </c>
      <c r="P30" s="55" t="s">
        <v>248</v>
      </c>
    </row>
    <row r="31" spans="1:16" ht="12.75" customHeight="1" thickBot="1">
      <c r="A31" s="10" t="str">
        <f t="shared" si="0"/>
        <v>IBVS 5741 </v>
      </c>
      <c r="B31" s="5" t="str">
        <f t="shared" si="1"/>
        <v>I</v>
      </c>
      <c r="C31" s="10">
        <f t="shared" si="2"/>
        <v>53451.2949</v>
      </c>
      <c r="D31" s="15" t="str">
        <f t="shared" si="3"/>
        <v>vis</v>
      </c>
      <c r="E31" s="51">
        <f>VLOOKUP(C31,A!C$21:E$973,3,FALSE)</f>
        <v>20970.477912418468</v>
      </c>
      <c r="F31" s="5" t="s">
        <v>85</v>
      </c>
      <c r="G31" s="15" t="str">
        <f t="shared" si="4"/>
        <v>53451.2949</v>
      </c>
      <c r="H31" s="10">
        <f t="shared" si="5"/>
        <v>20970</v>
      </c>
      <c r="I31" s="52" t="s">
        <v>249</v>
      </c>
      <c r="J31" s="53" t="s">
        <v>250</v>
      </c>
      <c r="K31" s="52">
        <v>20970</v>
      </c>
      <c r="L31" s="52" t="s">
        <v>251</v>
      </c>
      <c r="M31" s="53" t="s">
        <v>203</v>
      </c>
      <c r="N31" s="53" t="s">
        <v>204</v>
      </c>
      <c r="O31" s="54" t="s">
        <v>252</v>
      </c>
      <c r="P31" s="55" t="s">
        <v>253</v>
      </c>
    </row>
    <row r="32" spans="1:16" ht="12.75" customHeight="1" thickBot="1">
      <c r="A32" s="10" t="str">
        <f t="shared" si="0"/>
        <v>BAVM 178 </v>
      </c>
      <c r="B32" s="5" t="str">
        <f t="shared" si="1"/>
        <v>II</v>
      </c>
      <c r="C32" s="10">
        <f t="shared" si="2"/>
        <v>53746.3226</v>
      </c>
      <c r="D32" s="15" t="str">
        <f t="shared" si="3"/>
        <v>vis</v>
      </c>
      <c r="E32" s="51">
        <f>VLOOKUP(C32,A!C$21:E$973,3,FALSE)</f>
        <v>21211.976329156158</v>
      </c>
      <c r="F32" s="5" t="s">
        <v>85</v>
      </c>
      <c r="G32" s="15" t="str">
        <f t="shared" si="4"/>
        <v>53746.3226</v>
      </c>
      <c r="H32" s="10">
        <f t="shared" si="5"/>
        <v>21211.5</v>
      </c>
      <c r="I32" s="52" t="s">
        <v>254</v>
      </c>
      <c r="J32" s="53" t="s">
        <v>255</v>
      </c>
      <c r="K32" s="52">
        <v>21211.5</v>
      </c>
      <c r="L32" s="52" t="s">
        <v>256</v>
      </c>
      <c r="M32" s="53" t="s">
        <v>257</v>
      </c>
      <c r="N32" s="53" t="s">
        <v>258</v>
      </c>
      <c r="O32" s="54" t="s">
        <v>259</v>
      </c>
      <c r="P32" s="55" t="s">
        <v>260</v>
      </c>
    </row>
    <row r="33" spans="1:16" ht="12.75" customHeight="1" thickBot="1">
      <c r="A33" s="10" t="str">
        <f t="shared" si="0"/>
        <v> BBS 133 (=IBVS 5781) </v>
      </c>
      <c r="B33" s="5" t="str">
        <f t="shared" si="1"/>
        <v>I</v>
      </c>
      <c r="C33" s="10">
        <f t="shared" si="2"/>
        <v>54097.5466</v>
      </c>
      <c r="D33" s="15" t="str">
        <f t="shared" si="3"/>
        <v>vis</v>
      </c>
      <c r="E33" s="51">
        <f>VLOOKUP(C33,A!C$21:E$973,3,FALSE)</f>
        <v>21499.474892580132</v>
      </c>
      <c r="F33" s="5" t="s">
        <v>85</v>
      </c>
      <c r="G33" s="15" t="str">
        <f t="shared" si="4"/>
        <v>54097.5466</v>
      </c>
      <c r="H33" s="10">
        <f t="shared" si="5"/>
        <v>21499</v>
      </c>
      <c r="I33" s="52" t="s">
        <v>261</v>
      </c>
      <c r="J33" s="53" t="s">
        <v>262</v>
      </c>
      <c r="K33" s="52">
        <v>21499</v>
      </c>
      <c r="L33" s="52" t="s">
        <v>263</v>
      </c>
      <c r="M33" s="53" t="s">
        <v>257</v>
      </c>
      <c r="N33" s="53" t="s">
        <v>85</v>
      </c>
      <c r="O33" s="54" t="s">
        <v>264</v>
      </c>
      <c r="P33" s="54" t="s">
        <v>265</v>
      </c>
    </row>
    <row r="34" spans="1:16" ht="12.75" customHeight="1" thickBot="1">
      <c r="A34" s="10" t="str">
        <f t="shared" si="0"/>
        <v>BAVM 186 </v>
      </c>
      <c r="B34" s="5" t="str">
        <f t="shared" si="1"/>
        <v>II</v>
      </c>
      <c r="C34" s="10">
        <f t="shared" si="2"/>
        <v>54116.4849</v>
      </c>
      <c r="D34" s="15" t="str">
        <f t="shared" si="3"/>
        <v>vis</v>
      </c>
      <c r="E34" s="51">
        <f>VLOOKUP(C34,A!C$21:E$973,3,FALSE)</f>
        <v>21514.977062260143</v>
      </c>
      <c r="F34" s="5" t="s">
        <v>85</v>
      </c>
      <c r="G34" s="15" t="str">
        <f t="shared" si="4"/>
        <v>54116.4849</v>
      </c>
      <c r="H34" s="10">
        <f t="shared" si="5"/>
        <v>21514.5</v>
      </c>
      <c r="I34" s="52" t="s">
        <v>266</v>
      </c>
      <c r="J34" s="53" t="s">
        <v>267</v>
      </c>
      <c r="K34" s="52">
        <v>21514.5</v>
      </c>
      <c r="L34" s="52" t="s">
        <v>268</v>
      </c>
      <c r="M34" s="53" t="s">
        <v>257</v>
      </c>
      <c r="N34" s="53" t="s">
        <v>269</v>
      </c>
      <c r="O34" s="54" t="s">
        <v>270</v>
      </c>
      <c r="P34" s="55" t="s">
        <v>271</v>
      </c>
    </row>
    <row r="35" spans="1:16" ht="12.75" customHeight="1" thickBot="1">
      <c r="A35" s="10" t="str">
        <f t="shared" si="0"/>
        <v>BAVM 186 </v>
      </c>
      <c r="B35" s="5" t="str">
        <f t="shared" si="1"/>
        <v>II</v>
      </c>
      <c r="C35" s="10">
        <f t="shared" si="2"/>
        <v>54149.4705</v>
      </c>
      <c r="D35" s="15" t="str">
        <f t="shared" si="3"/>
        <v>vis</v>
      </c>
      <c r="E35" s="51">
        <f>VLOOKUP(C35,A!C$21:E$973,3,FALSE)</f>
        <v>21541.97781566446</v>
      </c>
      <c r="F35" s="5" t="s">
        <v>85</v>
      </c>
      <c r="G35" s="15" t="str">
        <f t="shared" si="4"/>
        <v>54149.4705</v>
      </c>
      <c r="H35" s="10">
        <f t="shared" si="5"/>
        <v>21541.5</v>
      </c>
      <c r="I35" s="52" t="s">
        <v>272</v>
      </c>
      <c r="J35" s="53" t="s">
        <v>273</v>
      </c>
      <c r="K35" s="52" t="s">
        <v>274</v>
      </c>
      <c r="L35" s="52" t="s">
        <v>275</v>
      </c>
      <c r="M35" s="53" t="s">
        <v>257</v>
      </c>
      <c r="N35" s="53" t="s">
        <v>269</v>
      </c>
      <c r="O35" s="54" t="s">
        <v>270</v>
      </c>
      <c r="P35" s="55" t="s">
        <v>271</v>
      </c>
    </row>
    <row r="36" spans="1:16" ht="12.75" customHeight="1" thickBot="1">
      <c r="A36" s="10" t="str">
        <f t="shared" si="0"/>
        <v>BAVM 209 </v>
      </c>
      <c r="B36" s="5" t="str">
        <f t="shared" si="1"/>
        <v>II</v>
      </c>
      <c r="C36" s="10">
        <f t="shared" si="2"/>
        <v>54843.3693</v>
      </c>
      <c r="D36" s="15" t="str">
        <f t="shared" si="3"/>
        <v>vis</v>
      </c>
      <c r="E36" s="51">
        <f>VLOOKUP(C36,A!C$21:E$973,3,FALSE)</f>
        <v>22109.9768936364</v>
      </c>
      <c r="F36" s="5" t="s">
        <v>85</v>
      </c>
      <c r="G36" s="15" t="str">
        <f t="shared" si="4"/>
        <v>54843.3693</v>
      </c>
      <c r="H36" s="10">
        <f t="shared" si="5"/>
        <v>22109.5</v>
      </c>
      <c r="I36" s="52" t="s">
        <v>276</v>
      </c>
      <c r="J36" s="53" t="s">
        <v>277</v>
      </c>
      <c r="K36" s="52" t="s">
        <v>278</v>
      </c>
      <c r="L36" s="52" t="s">
        <v>279</v>
      </c>
      <c r="M36" s="53" t="s">
        <v>257</v>
      </c>
      <c r="N36" s="53" t="s">
        <v>269</v>
      </c>
      <c r="O36" s="54" t="s">
        <v>270</v>
      </c>
      <c r="P36" s="55" t="s">
        <v>280</v>
      </c>
    </row>
    <row r="37" spans="1:16" ht="12.75" customHeight="1" thickBot="1">
      <c r="A37" s="10" t="str">
        <f t="shared" si="0"/>
        <v>BAVM 214 </v>
      </c>
      <c r="B37" s="5" t="str">
        <f t="shared" si="1"/>
        <v>II</v>
      </c>
      <c r="C37" s="10">
        <f t="shared" si="2"/>
        <v>55201.3127</v>
      </c>
      <c r="D37" s="15" t="str">
        <f t="shared" si="3"/>
        <v>vis</v>
      </c>
      <c r="E37" s="51">
        <f>VLOOKUP(C37,A!C$21:E$973,3,FALSE)</f>
        <v>22402.97570148294</v>
      </c>
      <c r="F37" s="5" t="s">
        <v>85</v>
      </c>
      <c r="G37" s="15" t="str">
        <f t="shared" si="4"/>
        <v>55201.3127</v>
      </c>
      <c r="H37" s="10">
        <f t="shared" si="5"/>
        <v>22402.5</v>
      </c>
      <c r="I37" s="52" t="s">
        <v>281</v>
      </c>
      <c r="J37" s="53" t="s">
        <v>282</v>
      </c>
      <c r="K37" s="52" t="s">
        <v>283</v>
      </c>
      <c r="L37" s="52" t="s">
        <v>284</v>
      </c>
      <c r="M37" s="53" t="s">
        <v>257</v>
      </c>
      <c r="N37" s="53" t="s">
        <v>269</v>
      </c>
      <c r="O37" s="54" t="s">
        <v>270</v>
      </c>
      <c r="P37" s="55" t="s">
        <v>285</v>
      </c>
    </row>
    <row r="38" spans="1:16" ht="12.75" customHeight="1" thickBot="1">
      <c r="A38" s="10" t="str">
        <f t="shared" si="0"/>
        <v>IBVS 5992 </v>
      </c>
      <c r="B38" s="5" t="str">
        <f t="shared" si="1"/>
        <v>II</v>
      </c>
      <c r="C38" s="10">
        <f t="shared" si="2"/>
        <v>55605.6807</v>
      </c>
      <c r="D38" s="15" t="str">
        <f t="shared" si="3"/>
        <v>vis</v>
      </c>
      <c r="E38" s="51">
        <f>VLOOKUP(C38,A!C$21:E$973,3,FALSE)</f>
        <v>22733.97591529129</v>
      </c>
      <c r="F38" s="5" t="s">
        <v>85</v>
      </c>
      <c r="G38" s="15" t="str">
        <f t="shared" si="4"/>
        <v>55605.6807</v>
      </c>
      <c r="H38" s="10">
        <f t="shared" si="5"/>
        <v>22733.5</v>
      </c>
      <c r="I38" s="52" t="s">
        <v>286</v>
      </c>
      <c r="J38" s="53" t="s">
        <v>287</v>
      </c>
      <c r="K38" s="52" t="s">
        <v>288</v>
      </c>
      <c r="L38" s="52" t="s">
        <v>289</v>
      </c>
      <c r="M38" s="53" t="s">
        <v>257</v>
      </c>
      <c r="N38" s="53" t="s">
        <v>85</v>
      </c>
      <c r="O38" s="54" t="s">
        <v>142</v>
      </c>
      <c r="P38" s="55" t="s">
        <v>290</v>
      </c>
    </row>
    <row r="39" spans="1:16" ht="12.75" customHeight="1" thickBot="1">
      <c r="A39" s="10" t="str">
        <f t="shared" si="0"/>
        <v>BAVM 220 </v>
      </c>
      <c r="B39" s="5" t="str">
        <f t="shared" si="1"/>
        <v>I</v>
      </c>
      <c r="C39" s="10">
        <f t="shared" si="2"/>
        <v>55623.395</v>
      </c>
      <c r="D39" s="15" t="str">
        <f t="shared" si="3"/>
        <v>vis</v>
      </c>
      <c r="E39" s="51">
        <f>VLOOKUP(C39,A!C$21:E$973,3,FALSE)</f>
        <v>22748.476165280073</v>
      </c>
      <c r="F39" s="5" t="s">
        <v>85</v>
      </c>
      <c r="G39" s="15" t="str">
        <f t="shared" si="4"/>
        <v>55623.3950</v>
      </c>
      <c r="H39" s="10">
        <f t="shared" si="5"/>
        <v>22748</v>
      </c>
      <c r="I39" s="52" t="s">
        <v>291</v>
      </c>
      <c r="J39" s="53" t="s">
        <v>292</v>
      </c>
      <c r="K39" s="52" t="s">
        <v>293</v>
      </c>
      <c r="L39" s="52" t="s">
        <v>294</v>
      </c>
      <c r="M39" s="53" t="s">
        <v>257</v>
      </c>
      <c r="N39" s="53" t="s">
        <v>269</v>
      </c>
      <c r="O39" s="54" t="s">
        <v>270</v>
      </c>
      <c r="P39" s="55" t="s">
        <v>295</v>
      </c>
    </row>
    <row r="40" spans="1:16" ht="12.75" customHeight="1" thickBot="1">
      <c r="A40" s="10" t="str">
        <f t="shared" si="0"/>
        <v> AAR 10.158 </v>
      </c>
      <c r="B40" s="5" t="str">
        <f t="shared" si="1"/>
        <v>I</v>
      </c>
      <c r="C40" s="10">
        <f t="shared" si="2"/>
        <v>15099.29</v>
      </c>
      <c r="D40" s="15" t="str">
        <f t="shared" si="3"/>
        <v>vis</v>
      </c>
      <c r="E40" s="51">
        <f>VLOOKUP(C40,A!C$21:E$973,3,FALSE)</f>
        <v>-10423.009756929698</v>
      </c>
      <c r="F40" s="5" t="s">
        <v>85</v>
      </c>
      <c r="G40" s="15" t="str">
        <f t="shared" si="4"/>
        <v>15099.29</v>
      </c>
      <c r="H40" s="10">
        <f t="shared" si="5"/>
        <v>-10423</v>
      </c>
      <c r="I40" s="52" t="s">
        <v>87</v>
      </c>
      <c r="J40" s="53" t="s">
        <v>88</v>
      </c>
      <c r="K40" s="52">
        <v>-10423</v>
      </c>
      <c r="L40" s="52" t="s">
        <v>89</v>
      </c>
      <c r="M40" s="53" t="s">
        <v>90</v>
      </c>
      <c r="N40" s="53"/>
      <c r="O40" s="54" t="s">
        <v>91</v>
      </c>
      <c r="P40" s="54" t="s">
        <v>92</v>
      </c>
    </row>
    <row r="41" spans="1:16" ht="12.75" customHeight="1" thickBot="1">
      <c r="A41" s="10" t="str">
        <f t="shared" si="0"/>
        <v> AAR 10.158 </v>
      </c>
      <c r="B41" s="5" t="str">
        <f t="shared" si="1"/>
        <v>I</v>
      </c>
      <c r="C41" s="10">
        <f t="shared" si="2"/>
        <v>20539.35</v>
      </c>
      <c r="D41" s="15" t="str">
        <f t="shared" si="3"/>
        <v>vis</v>
      </c>
      <c r="E41" s="51">
        <f>VLOOKUP(C41,A!C$21:E$973,3,FALSE)</f>
        <v>-5969.984237773224</v>
      </c>
      <c r="F41" s="5" t="s">
        <v>85</v>
      </c>
      <c r="G41" s="15" t="str">
        <f t="shared" si="4"/>
        <v>20539.35</v>
      </c>
      <c r="H41" s="10">
        <f t="shared" si="5"/>
        <v>-5970</v>
      </c>
      <c r="I41" s="52" t="s">
        <v>93</v>
      </c>
      <c r="J41" s="53" t="s">
        <v>94</v>
      </c>
      <c r="K41" s="52">
        <v>-5970</v>
      </c>
      <c r="L41" s="52" t="s">
        <v>95</v>
      </c>
      <c r="M41" s="53" t="s">
        <v>90</v>
      </c>
      <c r="N41" s="53"/>
      <c r="O41" s="54" t="s">
        <v>91</v>
      </c>
      <c r="P41" s="54" t="s">
        <v>92</v>
      </c>
    </row>
    <row r="42" spans="1:16" ht="12.75" customHeight="1" thickBot="1">
      <c r="A42" s="10" t="str">
        <f t="shared" si="0"/>
        <v> AAR 10.158 </v>
      </c>
      <c r="B42" s="5" t="str">
        <f t="shared" si="1"/>
        <v>I</v>
      </c>
      <c r="C42" s="10">
        <f t="shared" si="2"/>
        <v>26034.323</v>
      </c>
      <c r="D42" s="15" t="str">
        <f t="shared" si="3"/>
        <v>vis</v>
      </c>
      <c r="E42" s="51">
        <f>VLOOKUP(C42,A!C$21:E$973,3,FALSE)</f>
        <v>-1472.009032338758</v>
      </c>
      <c r="F42" s="5" t="s">
        <v>85</v>
      </c>
      <c r="G42" s="15" t="str">
        <f t="shared" si="4"/>
        <v>26034.323</v>
      </c>
      <c r="H42" s="10">
        <f t="shared" si="5"/>
        <v>-1472</v>
      </c>
      <c r="I42" s="52" t="s">
        <v>96</v>
      </c>
      <c r="J42" s="53" t="s">
        <v>97</v>
      </c>
      <c r="K42" s="52">
        <v>-1472</v>
      </c>
      <c r="L42" s="52" t="s">
        <v>98</v>
      </c>
      <c r="M42" s="53" t="s">
        <v>90</v>
      </c>
      <c r="N42" s="53"/>
      <c r="O42" s="54" t="s">
        <v>99</v>
      </c>
      <c r="P42" s="54" t="s">
        <v>92</v>
      </c>
    </row>
    <row r="43" spans="1:16" ht="12.75" customHeight="1" thickBot="1">
      <c r="A43" s="10" t="str">
        <f aca="true" t="shared" si="6" ref="A43:A62">P43</f>
        <v> AAR 10.158 </v>
      </c>
      <c r="B43" s="5" t="str">
        <f aca="true" t="shared" si="7" ref="B43:B62">IF(H43=INT(H43),"I","II")</f>
        <v>I</v>
      </c>
      <c r="C43" s="10">
        <f aca="true" t="shared" si="8" ref="C43:C62">1*G43</f>
        <v>26056.336</v>
      </c>
      <c r="D43" s="15" t="str">
        <f aca="true" t="shared" si="9" ref="D43:D62">VLOOKUP(F43,I$1:J$5,2,FALSE)</f>
        <v>vis</v>
      </c>
      <c r="E43" s="51">
        <f>VLOOKUP(C43,A!C$21:E$973,3,FALSE)</f>
        <v>-1453.9900305716476</v>
      </c>
      <c r="F43" s="5" t="s">
        <v>85</v>
      </c>
      <c r="G43" s="15" t="str">
        <f aca="true" t="shared" si="10" ref="G43:G62">MID(I43,3,LEN(I43)-3)</f>
        <v>26056.336</v>
      </c>
      <c r="H43" s="10">
        <f aca="true" t="shared" si="11" ref="H43:H62">1*K43</f>
        <v>-1454</v>
      </c>
      <c r="I43" s="52" t="s">
        <v>100</v>
      </c>
      <c r="J43" s="53" t="s">
        <v>101</v>
      </c>
      <c r="K43" s="52">
        <v>-1454</v>
      </c>
      <c r="L43" s="52" t="s">
        <v>102</v>
      </c>
      <c r="M43" s="53" t="s">
        <v>90</v>
      </c>
      <c r="N43" s="53"/>
      <c r="O43" s="54" t="s">
        <v>99</v>
      </c>
      <c r="P43" s="54" t="s">
        <v>92</v>
      </c>
    </row>
    <row r="44" spans="1:16" ht="12.75" customHeight="1" thickBot="1">
      <c r="A44" s="10" t="str">
        <f t="shared" si="6"/>
        <v> AAR 10.158 </v>
      </c>
      <c r="B44" s="5" t="str">
        <f t="shared" si="7"/>
        <v>I</v>
      </c>
      <c r="C44" s="10">
        <f t="shared" si="8"/>
        <v>27457.545</v>
      </c>
      <c r="D44" s="15" t="str">
        <f t="shared" si="9"/>
        <v>vis</v>
      </c>
      <c r="E44" s="51">
        <f>VLOOKUP(C44,A!C$21:E$973,3,FALSE)</f>
        <v>-307.0138143770247</v>
      </c>
      <c r="F44" s="5" t="s">
        <v>85</v>
      </c>
      <c r="G44" s="15" t="str">
        <f t="shared" si="10"/>
        <v>27457.545</v>
      </c>
      <c r="H44" s="10">
        <f t="shared" si="11"/>
        <v>-307</v>
      </c>
      <c r="I44" s="52" t="s">
        <v>103</v>
      </c>
      <c r="J44" s="53" t="s">
        <v>104</v>
      </c>
      <c r="K44" s="52">
        <v>-307</v>
      </c>
      <c r="L44" s="52" t="s">
        <v>105</v>
      </c>
      <c r="M44" s="53" t="s">
        <v>90</v>
      </c>
      <c r="N44" s="53"/>
      <c r="O44" s="54" t="s">
        <v>99</v>
      </c>
      <c r="P44" s="54" t="s">
        <v>92</v>
      </c>
    </row>
    <row r="45" spans="1:16" ht="12.75" customHeight="1" thickBot="1">
      <c r="A45" s="10" t="str">
        <f t="shared" si="6"/>
        <v> AAR 10.158 </v>
      </c>
      <c r="B45" s="5" t="str">
        <f t="shared" si="7"/>
        <v>I</v>
      </c>
      <c r="C45" s="10">
        <f t="shared" si="8"/>
        <v>27716.534</v>
      </c>
      <c r="D45" s="15" t="str">
        <f t="shared" si="9"/>
        <v>vis</v>
      </c>
      <c r="E45" s="51">
        <f>VLOOKUP(C45,A!C$21:E$973,3,FALSE)</f>
        <v>-95.01530219502253</v>
      </c>
      <c r="F45" s="5" t="s">
        <v>85</v>
      </c>
      <c r="G45" s="15" t="str">
        <f t="shared" si="10"/>
        <v>27716.534</v>
      </c>
      <c r="H45" s="10">
        <f t="shared" si="11"/>
        <v>-95</v>
      </c>
      <c r="I45" s="52" t="s">
        <v>106</v>
      </c>
      <c r="J45" s="53" t="s">
        <v>107</v>
      </c>
      <c r="K45" s="52">
        <v>-95</v>
      </c>
      <c r="L45" s="52" t="s">
        <v>108</v>
      </c>
      <c r="M45" s="53" t="s">
        <v>90</v>
      </c>
      <c r="N45" s="53"/>
      <c r="O45" s="54" t="s">
        <v>99</v>
      </c>
      <c r="P45" s="54" t="s">
        <v>92</v>
      </c>
    </row>
    <row r="46" spans="1:16" ht="12.75" customHeight="1" thickBot="1">
      <c r="A46" s="10" t="str">
        <f t="shared" si="6"/>
        <v> AAR 10.158 </v>
      </c>
      <c r="B46" s="5" t="str">
        <f t="shared" si="7"/>
        <v>I</v>
      </c>
      <c r="C46" s="10">
        <f t="shared" si="8"/>
        <v>27815.486</v>
      </c>
      <c r="D46" s="15" t="str">
        <f t="shared" si="9"/>
        <v>vis</v>
      </c>
      <c r="E46" s="51">
        <f>VLOOKUP(C46,A!C$21:E$973,3,FALSE)</f>
        <v>-14.016971078899443</v>
      </c>
      <c r="F46" s="5" t="s">
        <v>85</v>
      </c>
      <c r="G46" s="15" t="str">
        <f t="shared" si="10"/>
        <v>27815.486</v>
      </c>
      <c r="H46" s="10">
        <f t="shared" si="11"/>
        <v>-14</v>
      </c>
      <c r="I46" s="52" t="s">
        <v>109</v>
      </c>
      <c r="J46" s="53" t="s">
        <v>110</v>
      </c>
      <c r="K46" s="52">
        <v>-14</v>
      </c>
      <c r="L46" s="52" t="s">
        <v>111</v>
      </c>
      <c r="M46" s="53" t="s">
        <v>90</v>
      </c>
      <c r="N46" s="53"/>
      <c r="O46" s="54" t="s">
        <v>99</v>
      </c>
      <c r="P46" s="54" t="s">
        <v>92</v>
      </c>
    </row>
    <row r="47" spans="1:16" ht="12.75" customHeight="1" thickBot="1">
      <c r="A47" s="10" t="str">
        <f t="shared" si="6"/>
        <v> AAR 10.158 </v>
      </c>
      <c r="B47" s="5" t="str">
        <f t="shared" si="7"/>
        <v>I</v>
      </c>
      <c r="C47" s="10">
        <f t="shared" si="8"/>
        <v>27837.491</v>
      </c>
      <c r="D47" s="15" t="str">
        <f t="shared" si="9"/>
        <v>vis</v>
      </c>
      <c r="E47" s="51">
        <f>VLOOKUP(C47,A!C$21:E$973,3,FALSE)</f>
        <v>3.995482193498797</v>
      </c>
      <c r="F47" s="5" t="s">
        <v>85</v>
      </c>
      <c r="G47" s="15" t="str">
        <f t="shared" si="10"/>
        <v>27837.491</v>
      </c>
      <c r="H47" s="10">
        <f t="shared" si="11"/>
        <v>4</v>
      </c>
      <c r="I47" s="52" t="s">
        <v>112</v>
      </c>
      <c r="J47" s="53" t="s">
        <v>113</v>
      </c>
      <c r="K47" s="52">
        <v>4</v>
      </c>
      <c r="L47" s="52" t="s">
        <v>114</v>
      </c>
      <c r="M47" s="53" t="s">
        <v>90</v>
      </c>
      <c r="N47" s="53"/>
      <c r="O47" s="54" t="s">
        <v>99</v>
      </c>
      <c r="P47" s="54" t="s">
        <v>92</v>
      </c>
    </row>
    <row r="48" spans="1:16" ht="12.75" customHeight="1" thickBot="1">
      <c r="A48" s="10" t="str">
        <f t="shared" si="6"/>
        <v> AAR 10.158 </v>
      </c>
      <c r="B48" s="5" t="str">
        <f t="shared" si="7"/>
        <v>I</v>
      </c>
      <c r="C48" s="10">
        <f t="shared" si="8"/>
        <v>27886.313</v>
      </c>
      <c r="D48" s="15" t="str">
        <f t="shared" si="9"/>
        <v>vis</v>
      </c>
      <c r="E48" s="51">
        <f>VLOOKUP(C48,A!C$21:E$973,3,FALSE)</f>
        <v>43.95930830869638</v>
      </c>
      <c r="F48" s="5" t="s">
        <v>85</v>
      </c>
      <c r="G48" s="15" t="str">
        <f t="shared" si="10"/>
        <v>27886.313</v>
      </c>
      <c r="H48" s="10">
        <f t="shared" si="11"/>
        <v>44</v>
      </c>
      <c r="I48" s="52" t="s">
        <v>115</v>
      </c>
      <c r="J48" s="53" t="s">
        <v>116</v>
      </c>
      <c r="K48" s="52">
        <v>44</v>
      </c>
      <c r="L48" s="52" t="s">
        <v>117</v>
      </c>
      <c r="M48" s="53" t="s">
        <v>90</v>
      </c>
      <c r="N48" s="53"/>
      <c r="O48" s="54" t="s">
        <v>99</v>
      </c>
      <c r="P48" s="54" t="s">
        <v>92</v>
      </c>
    </row>
    <row r="49" spans="1:16" ht="12.75" customHeight="1" thickBot="1">
      <c r="A49" s="10" t="str">
        <f t="shared" si="6"/>
        <v> AAR 10.158 </v>
      </c>
      <c r="B49" s="5" t="str">
        <f t="shared" si="7"/>
        <v>I</v>
      </c>
      <c r="C49" s="10">
        <f t="shared" si="8"/>
        <v>27886.357</v>
      </c>
      <c r="D49" s="15" t="str">
        <f t="shared" si="9"/>
        <v>vis</v>
      </c>
      <c r="E49" s="51">
        <f>VLOOKUP(C49,A!C$21:E$973,3,FALSE)</f>
        <v>43.99532502962416</v>
      </c>
      <c r="F49" s="5" t="s">
        <v>85</v>
      </c>
      <c r="G49" s="15" t="str">
        <f t="shared" si="10"/>
        <v>27886.357</v>
      </c>
      <c r="H49" s="10">
        <f t="shared" si="11"/>
        <v>44</v>
      </c>
      <c r="I49" s="52" t="s">
        <v>118</v>
      </c>
      <c r="J49" s="53" t="s">
        <v>119</v>
      </c>
      <c r="K49" s="52">
        <v>44</v>
      </c>
      <c r="L49" s="52" t="s">
        <v>114</v>
      </c>
      <c r="M49" s="53" t="s">
        <v>90</v>
      </c>
      <c r="N49" s="53"/>
      <c r="O49" s="54" t="s">
        <v>99</v>
      </c>
      <c r="P49" s="54" t="s">
        <v>92</v>
      </c>
    </row>
    <row r="50" spans="1:16" ht="12.75" customHeight="1" thickBot="1">
      <c r="A50" s="10" t="str">
        <f t="shared" si="6"/>
        <v> AAR 10.158 </v>
      </c>
      <c r="B50" s="5" t="str">
        <f t="shared" si="7"/>
        <v>I</v>
      </c>
      <c r="C50" s="10">
        <f t="shared" si="8"/>
        <v>28211.337</v>
      </c>
      <c r="D50" s="15" t="str">
        <f t="shared" si="9"/>
        <v>vis</v>
      </c>
      <c r="E50" s="51">
        <f>VLOOKUP(C50,A!C$21:E$973,3,FALSE)</f>
        <v>310.01155154467534</v>
      </c>
      <c r="F50" s="5" t="s">
        <v>85</v>
      </c>
      <c r="G50" s="15" t="str">
        <f t="shared" si="10"/>
        <v>28211.337</v>
      </c>
      <c r="H50" s="10">
        <f t="shared" si="11"/>
        <v>310</v>
      </c>
      <c r="I50" s="52" t="s">
        <v>120</v>
      </c>
      <c r="J50" s="53" t="s">
        <v>121</v>
      </c>
      <c r="K50" s="52">
        <v>310</v>
      </c>
      <c r="L50" s="52" t="s">
        <v>122</v>
      </c>
      <c r="M50" s="53" t="s">
        <v>90</v>
      </c>
      <c r="N50" s="53"/>
      <c r="O50" s="54" t="s">
        <v>99</v>
      </c>
      <c r="P50" s="54" t="s">
        <v>92</v>
      </c>
    </row>
    <row r="51" spans="1:16" ht="12.75" customHeight="1" thickBot="1">
      <c r="A51" s="10" t="str">
        <f t="shared" si="6"/>
        <v> AAR 10.158 </v>
      </c>
      <c r="B51" s="5" t="str">
        <f t="shared" si="7"/>
        <v>I</v>
      </c>
      <c r="C51" s="10">
        <f t="shared" si="8"/>
        <v>28211.352</v>
      </c>
      <c r="D51" s="15" t="str">
        <f t="shared" si="9"/>
        <v>vis</v>
      </c>
      <c r="E51" s="51">
        <f>VLOOKUP(C51,A!C$21:E$973,3,FALSE)</f>
        <v>310.0238299722634</v>
      </c>
      <c r="F51" s="5" t="s">
        <v>85</v>
      </c>
      <c r="G51" s="15" t="str">
        <f t="shared" si="10"/>
        <v>28211.352</v>
      </c>
      <c r="H51" s="10">
        <f t="shared" si="11"/>
        <v>310</v>
      </c>
      <c r="I51" s="52" t="s">
        <v>123</v>
      </c>
      <c r="J51" s="53" t="s">
        <v>124</v>
      </c>
      <c r="K51" s="52">
        <v>310</v>
      </c>
      <c r="L51" s="52" t="s">
        <v>125</v>
      </c>
      <c r="M51" s="53" t="s">
        <v>90</v>
      </c>
      <c r="N51" s="53"/>
      <c r="O51" s="54" t="s">
        <v>99</v>
      </c>
      <c r="P51" s="54" t="s">
        <v>92</v>
      </c>
    </row>
    <row r="52" spans="1:16" ht="12.75" customHeight="1" thickBot="1">
      <c r="A52" s="10" t="str">
        <f t="shared" si="6"/>
        <v> AAR 10.158 </v>
      </c>
      <c r="B52" s="5" t="str">
        <f t="shared" si="7"/>
        <v>I</v>
      </c>
      <c r="C52" s="10">
        <f t="shared" si="8"/>
        <v>28212.527</v>
      </c>
      <c r="D52" s="15" t="str">
        <f t="shared" si="9"/>
        <v>vis</v>
      </c>
      <c r="E52" s="51">
        <f>VLOOKUP(C52,A!C$21:E$973,3,FALSE)</f>
        <v>310.9856401333656</v>
      </c>
      <c r="F52" s="5" t="s">
        <v>85</v>
      </c>
      <c r="G52" s="15" t="str">
        <f t="shared" si="10"/>
        <v>28212.527</v>
      </c>
      <c r="H52" s="10">
        <f t="shared" si="11"/>
        <v>311</v>
      </c>
      <c r="I52" s="52" t="s">
        <v>126</v>
      </c>
      <c r="J52" s="53" t="s">
        <v>127</v>
      </c>
      <c r="K52" s="52">
        <v>311</v>
      </c>
      <c r="L52" s="52" t="s">
        <v>128</v>
      </c>
      <c r="M52" s="53" t="s">
        <v>90</v>
      </c>
      <c r="N52" s="53"/>
      <c r="O52" s="54" t="s">
        <v>99</v>
      </c>
      <c r="P52" s="54" t="s">
        <v>92</v>
      </c>
    </row>
    <row r="53" spans="1:16" ht="12.75" customHeight="1" thickBot="1">
      <c r="A53" s="10" t="str">
        <f t="shared" si="6"/>
        <v> AAR 10.158 </v>
      </c>
      <c r="B53" s="5" t="str">
        <f t="shared" si="7"/>
        <v>I</v>
      </c>
      <c r="C53" s="10">
        <f t="shared" si="8"/>
        <v>28542.371</v>
      </c>
      <c r="D53" s="15" t="str">
        <f t="shared" si="9"/>
        <v>vis</v>
      </c>
      <c r="E53" s="51">
        <f>VLOOKUP(C53,A!C$21:E$973,3,FALSE)</f>
        <v>580.9833514344639</v>
      </c>
      <c r="F53" s="5" t="s">
        <v>85</v>
      </c>
      <c r="G53" s="15" t="str">
        <f t="shared" si="10"/>
        <v>28542.371</v>
      </c>
      <c r="H53" s="10">
        <f t="shared" si="11"/>
        <v>581</v>
      </c>
      <c r="I53" s="52" t="s">
        <v>129</v>
      </c>
      <c r="J53" s="53" t="s">
        <v>130</v>
      </c>
      <c r="K53" s="52">
        <v>581</v>
      </c>
      <c r="L53" s="52" t="s">
        <v>131</v>
      </c>
      <c r="M53" s="53" t="s">
        <v>90</v>
      </c>
      <c r="N53" s="53"/>
      <c r="O53" s="54" t="s">
        <v>99</v>
      </c>
      <c r="P53" s="54" t="s">
        <v>92</v>
      </c>
    </row>
    <row r="54" spans="1:16" ht="12.75" customHeight="1" thickBot="1">
      <c r="A54" s="10" t="str">
        <f t="shared" si="6"/>
        <v> AAR 10.158 </v>
      </c>
      <c r="B54" s="5" t="str">
        <f t="shared" si="7"/>
        <v>I</v>
      </c>
      <c r="C54" s="10">
        <f t="shared" si="8"/>
        <v>28542.389</v>
      </c>
      <c r="D54" s="15" t="str">
        <f t="shared" si="9"/>
        <v>vis</v>
      </c>
      <c r="E54" s="51">
        <f>VLOOKUP(C54,A!C$21:E$973,3,FALSE)</f>
        <v>580.9980855475702</v>
      </c>
      <c r="F54" s="5" t="s">
        <v>85</v>
      </c>
      <c r="G54" s="15" t="str">
        <f t="shared" si="10"/>
        <v>28542.389</v>
      </c>
      <c r="H54" s="10">
        <f t="shared" si="11"/>
        <v>581</v>
      </c>
      <c r="I54" s="52" t="s">
        <v>132</v>
      </c>
      <c r="J54" s="53" t="s">
        <v>133</v>
      </c>
      <c r="K54" s="52">
        <v>581</v>
      </c>
      <c r="L54" s="52" t="s">
        <v>134</v>
      </c>
      <c r="M54" s="53" t="s">
        <v>90</v>
      </c>
      <c r="N54" s="53"/>
      <c r="O54" s="54" t="s">
        <v>99</v>
      </c>
      <c r="P54" s="54" t="s">
        <v>92</v>
      </c>
    </row>
    <row r="55" spans="1:16" ht="12.75" customHeight="1" thickBot="1">
      <c r="A55" s="10" t="str">
        <f t="shared" si="6"/>
        <v> AAR 10.158 </v>
      </c>
      <c r="B55" s="5" t="str">
        <f t="shared" si="7"/>
        <v>I</v>
      </c>
      <c r="C55" s="10">
        <f t="shared" si="8"/>
        <v>28542.41</v>
      </c>
      <c r="D55" s="15" t="str">
        <f t="shared" si="9"/>
        <v>vis</v>
      </c>
      <c r="E55" s="51">
        <f>VLOOKUP(C55,A!C$21:E$973,3,FALSE)</f>
        <v>581.0152753461947</v>
      </c>
      <c r="F55" s="5" t="s">
        <v>85</v>
      </c>
      <c r="G55" s="15" t="str">
        <f t="shared" si="10"/>
        <v>28542.410</v>
      </c>
      <c r="H55" s="10">
        <f t="shared" si="11"/>
        <v>581</v>
      </c>
      <c r="I55" s="52" t="s">
        <v>135</v>
      </c>
      <c r="J55" s="53" t="s">
        <v>136</v>
      </c>
      <c r="K55" s="52">
        <v>581</v>
      </c>
      <c r="L55" s="52" t="s">
        <v>137</v>
      </c>
      <c r="M55" s="53" t="s">
        <v>90</v>
      </c>
      <c r="N55" s="53"/>
      <c r="O55" s="54" t="s">
        <v>99</v>
      </c>
      <c r="P55" s="54" t="s">
        <v>92</v>
      </c>
    </row>
    <row r="56" spans="1:16" ht="12.75" customHeight="1" thickBot="1">
      <c r="A56" s="10" t="str">
        <f t="shared" si="6"/>
        <v> BRNO 28 </v>
      </c>
      <c r="B56" s="5" t="str">
        <f t="shared" si="7"/>
        <v>II</v>
      </c>
      <c r="C56" s="10">
        <f t="shared" si="8"/>
        <v>46769.465</v>
      </c>
      <c r="D56" s="15" t="str">
        <f t="shared" si="9"/>
        <v>vis</v>
      </c>
      <c r="E56" s="51">
        <f>VLOOKUP(C56,A!C$21:E$973,3,FALSE)</f>
        <v>15500.986940009565</v>
      </c>
      <c r="F56" s="5" t="s">
        <v>85</v>
      </c>
      <c r="G56" s="15" t="str">
        <f t="shared" si="10"/>
        <v>46769.465</v>
      </c>
      <c r="H56" s="10">
        <f t="shared" si="11"/>
        <v>15500.5</v>
      </c>
      <c r="I56" s="52" t="s">
        <v>182</v>
      </c>
      <c r="J56" s="53" t="s">
        <v>183</v>
      </c>
      <c r="K56" s="52">
        <v>15500.5</v>
      </c>
      <c r="L56" s="52" t="s">
        <v>184</v>
      </c>
      <c r="M56" s="53" t="s">
        <v>141</v>
      </c>
      <c r="N56" s="53"/>
      <c r="O56" s="54" t="s">
        <v>185</v>
      </c>
      <c r="P56" s="54" t="s">
        <v>186</v>
      </c>
    </row>
    <row r="57" spans="1:16" ht="12.75" customHeight="1" thickBot="1">
      <c r="A57" s="10" t="str">
        <f t="shared" si="6"/>
        <v> BRNO 30 </v>
      </c>
      <c r="B57" s="5" t="str">
        <f t="shared" si="7"/>
        <v>II</v>
      </c>
      <c r="C57" s="10">
        <f t="shared" si="8"/>
        <v>46851.33</v>
      </c>
      <c r="D57" s="15" t="str">
        <f t="shared" si="9"/>
        <v>vis</v>
      </c>
      <c r="E57" s="51">
        <f>VLOOKUP(C57,A!C$21:E$973,3,FALSE)</f>
        <v>15567.998504978657</v>
      </c>
      <c r="F57" s="5" t="s">
        <v>85</v>
      </c>
      <c r="G57" s="15" t="str">
        <f t="shared" si="10"/>
        <v>46851.330</v>
      </c>
      <c r="H57" s="10">
        <f t="shared" si="11"/>
        <v>15567.5</v>
      </c>
      <c r="I57" s="52" t="s">
        <v>187</v>
      </c>
      <c r="J57" s="53" t="s">
        <v>188</v>
      </c>
      <c r="K57" s="52">
        <v>15567.5</v>
      </c>
      <c r="L57" s="52" t="s">
        <v>153</v>
      </c>
      <c r="M57" s="53" t="s">
        <v>141</v>
      </c>
      <c r="N57" s="53"/>
      <c r="O57" s="54" t="s">
        <v>189</v>
      </c>
      <c r="P57" s="54" t="s">
        <v>190</v>
      </c>
    </row>
    <row r="58" spans="1:16" ht="12.75" customHeight="1" thickBot="1">
      <c r="A58" s="10" t="str">
        <f t="shared" si="6"/>
        <v> BRNO 30 </v>
      </c>
      <c r="B58" s="5" t="str">
        <f t="shared" si="7"/>
        <v>II</v>
      </c>
      <c r="C58" s="10">
        <f t="shared" si="8"/>
        <v>47557.432</v>
      </c>
      <c r="D58" s="15" t="str">
        <f t="shared" si="9"/>
        <v>vis</v>
      </c>
      <c r="E58" s="51">
        <f>VLOOKUP(C58,A!C$21:E$973,3,FALSE)</f>
        <v>16145.986656787172</v>
      </c>
      <c r="F58" s="5" t="s">
        <v>85</v>
      </c>
      <c r="G58" s="15" t="str">
        <f t="shared" si="10"/>
        <v>47557.432</v>
      </c>
      <c r="H58" s="10">
        <f t="shared" si="11"/>
        <v>16145.5</v>
      </c>
      <c r="I58" s="52" t="s">
        <v>191</v>
      </c>
      <c r="J58" s="53" t="s">
        <v>192</v>
      </c>
      <c r="K58" s="52">
        <v>16145.5</v>
      </c>
      <c r="L58" s="52" t="s">
        <v>184</v>
      </c>
      <c r="M58" s="53" t="s">
        <v>141</v>
      </c>
      <c r="N58" s="53"/>
      <c r="O58" s="54" t="s">
        <v>185</v>
      </c>
      <c r="P58" s="54" t="s">
        <v>190</v>
      </c>
    </row>
    <row r="59" spans="1:16" ht="12.75" customHeight="1" thickBot="1">
      <c r="A59" s="10" t="str">
        <f t="shared" si="6"/>
        <v> BRNO 30 </v>
      </c>
      <c r="B59" s="5" t="str">
        <f t="shared" si="7"/>
        <v>II</v>
      </c>
      <c r="C59" s="10">
        <f t="shared" si="8"/>
        <v>47557.435</v>
      </c>
      <c r="D59" s="15" t="str">
        <f t="shared" si="9"/>
        <v>vis</v>
      </c>
      <c r="E59" s="51">
        <f>VLOOKUP(C59,A!C$21:E$973,3,FALSE)</f>
        <v>16145.989112472687</v>
      </c>
      <c r="F59" s="5" t="s">
        <v>85</v>
      </c>
      <c r="G59" s="15" t="str">
        <f t="shared" si="10"/>
        <v>47557.435</v>
      </c>
      <c r="H59" s="10">
        <f t="shared" si="11"/>
        <v>16145.5</v>
      </c>
      <c r="I59" s="52" t="s">
        <v>193</v>
      </c>
      <c r="J59" s="53" t="s">
        <v>194</v>
      </c>
      <c r="K59" s="52">
        <v>16145.5</v>
      </c>
      <c r="L59" s="52" t="s">
        <v>176</v>
      </c>
      <c r="M59" s="53" t="s">
        <v>141</v>
      </c>
      <c r="N59" s="53"/>
      <c r="O59" s="54" t="s">
        <v>195</v>
      </c>
      <c r="P59" s="54" t="s">
        <v>190</v>
      </c>
    </row>
    <row r="60" spans="1:16" ht="12.75" customHeight="1" thickBot="1">
      <c r="A60" s="10" t="str">
        <f t="shared" si="6"/>
        <v> BRNO 30 </v>
      </c>
      <c r="B60" s="5" t="str">
        <f t="shared" si="7"/>
        <v>II</v>
      </c>
      <c r="C60" s="10">
        <f t="shared" si="8"/>
        <v>47850.624</v>
      </c>
      <c r="D60" s="15" t="str">
        <f t="shared" si="9"/>
        <v>vis</v>
      </c>
      <c r="E60" s="51">
        <f>VLOOKUP(C60,A!C$21:E$973,3,FALSE)</f>
        <v>16385.982439556577</v>
      </c>
      <c r="F60" s="5" t="s">
        <v>85</v>
      </c>
      <c r="G60" s="15" t="str">
        <f t="shared" si="10"/>
        <v>47850.624</v>
      </c>
      <c r="H60" s="10">
        <f t="shared" si="11"/>
        <v>16385.5</v>
      </c>
      <c r="I60" s="52" t="s">
        <v>196</v>
      </c>
      <c r="J60" s="53" t="s">
        <v>197</v>
      </c>
      <c r="K60" s="52">
        <v>16385.5</v>
      </c>
      <c r="L60" s="52" t="s">
        <v>198</v>
      </c>
      <c r="M60" s="53" t="s">
        <v>141</v>
      </c>
      <c r="N60" s="53"/>
      <c r="O60" s="54" t="s">
        <v>199</v>
      </c>
      <c r="P60" s="54" t="s">
        <v>190</v>
      </c>
    </row>
    <row r="61" spans="1:16" ht="12.75" customHeight="1" thickBot="1">
      <c r="A61" s="10" t="str">
        <f t="shared" si="6"/>
        <v> BBS 127 </v>
      </c>
      <c r="B61" s="5" t="str">
        <f t="shared" si="7"/>
        <v>I</v>
      </c>
      <c r="C61" s="10">
        <f t="shared" si="8"/>
        <v>52310.267</v>
      </c>
      <c r="D61" s="15" t="str">
        <f t="shared" si="9"/>
        <v>vis</v>
      </c>
      <c r="E61" s="51">
        <f>VLOOKUP(C61,A!C$21:E$973,3,FALSE)</f>
        <v>20036.476015974396</v>
      </c>
      <c r="F61" s="5" t="s">
        <v>85</v>
      </c>
      <c r="G61" s="15" t="str">
        <f t="shared" si="10"/>
        <v>52310.267</v>
      </c>
      <c r="H61" s="10">
        <f t="shared" si="11"/>
        <v>20036</v>
      </c>
      <c r="I61" s="52" t="s">
        <v>221</v>
      </c>
      <c r="J61" s="53" t="s">
        <v>222</v>
      </c>
      <c r="K61" s="52">
        <v>20036</v>
      </c>
      <c r="L61" s="52" t="s">
        <v>223</v>
      </c>
      <c r="M61" s="53" t="s">
        <v>203</v>
      </c>
      <c r="N61" s="53" t="s">
        <v>204</v>
      </c>
      <c r="O61" s="54" t="s">
        <v>210</v>
      </c>
      <c r="P61" s="54" t="s">
        <v>224</v>
      </c>
    </row>
    <row r="62" spans="1:16" ht="12.75" customHeight="1" thickBot="1">
      <c r="A62" s="10" t="str">
        <f t="shared" si="6"/>
        <v>BAVM 225 </v>
      </c>
      <c r="B62" s="5" t="str">
        <f t="shared" si="7"/>
        <v>II</v>
      </c>
      <c r="C62" s="10">
        <f t="shared" si="8"/>
        <v>55907.4267</v>
      </c>
      <c r="D62" s="15" t="str">
        <f t="shared" si="9"/>
        <v>vis</v>
      </c>
      <c r="E62" s="51">
        <f>VLOOKUP(C62,A!C$21:E$973,3,FALSE)</f>
        <v>22980.973676033525</v>
      </c>
      <c r="F62" s="5" t="s">
        <v>85</v>
      </c>
      <c r="G62" s="15" t="str">
        <f t="shared" si="10"/>
        <v>55907.4267</v>
      </c>
      <c r="H62" s="10">
        <f t="shared" si="11"/>
        <v>22980.5</v>
      </c>
      <c r="I62" s="52" t="s">
        <v>296</v>
      </c>
      <c r="J62" s="53" t="s">
        <v>297</v>
      </c>
      <c r="K62" s="52" t="s">
        <v>298</v>
      </c>
      <c r="L62" s="52" t="s">
        <v>299</v>
      </c>
      <c r="M62" s="53" t="s">
        <v>257</v>
      </c>
      <c r="N62" s="53" t="s">
        <v>269</v>
      </c>
      <c r="O62" s="54" t="s">
        <v>300</v>
      </c>
      <c r="P62" s="55" t="s">
        <v>301</v>
      </c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</sheetData>
  <sheetProtection/>
  <hyperlinks>
    <hyperlink ref="P24" r:id="rId1" display="http://www.konkoly.hu/cgi-bin/IBVS?5263"/>
    <hyperlink ref="P25" r:id="rId2" display="http://www.konkoly.hu/cgi-bin/IBVS?5287"/>
    <hyperlink ref="P26" r:id="rId3" display="http://www.konkoly.hu/cgi-bin/IBVS?5502"/>
    <hyperlink ref="P27" r:id="rId4" display="http://www.konkoly.hu/cgi-bin/IBVS?5602"/>
    <hyperlink ref="P28" r:id="rId5" display="http://www.konkoly.hu/cgi-bin/IBVS?5677"/>
    <hyperlink ref="P29" r:id="rId6" display="http://www.konkoly.hu/cgi-bin/IBVS?5653"/>
    <hyperlink ref="P30" r:id="rId7" display="http://var.astro.cz/oejv/issues/oejv0003.pdf"/>
    <hyperlink ref="P31" r:id="rId8" display="http://www.konkoly.hu/cgi-bin/IBVS?5741"/>
    <hyperlink ref="P32" r:id="rId9" display="http://www.bav-astro.de/sfs/BAVM_link.php?BAVMnr=178"/>
    <hyperlink ref="P34" r:id="rId10" display="http://www.bav-astro.de/sfs/BAVM_link.php?BAVMnr=186"/>
    <hyperlink ref="P35" r:id="rId11" display="http://www.bav-astro.de/sfs/BAVM_link.php?BAVMnr=186"/>
    <hyperlink ref="P36" r:id="rId12" display="http://www.bav-astro.de/sfs/BAVM_link.php?BAVMnr=209"/>
    <hyperlink ref="P37" r:id="rId13" display="http://www.bav-astro.de/sfs/BAVM_link.php?BAVMnr=214"/>
    <hyperlink ref="P38" r:id="rId14" display="http://www.konkoly.hu/cgi-bin/IBVS?5992"/>
    <hyperlink ref="P39" r:id="rId15" display="http://www.bav-astro.de/sfs/BAVM_link.php?BAVMnr=220"/>
    <hyperlink ref="P62" r:id="rId16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2022-11-17T04:54:38Z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