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15" windowWidth="786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<sst xmlns="http://schemas.openxmlformats.org/spreadsheetml/2006/main" count="71" uniqueCount="54">
  <si>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JAVSO..47..105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</si>
  <si>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</si>
  <si>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</si>
  <si>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</si>
  <si>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</si>
  <si>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</si>
  <si>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</si>
  <si>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</si>
  <si>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</si>
  <si>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</si>
  <si>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</si>
  <si>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</si>
  <si>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</si>
  <si>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</si>
  <si>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</si>
  <si>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</si>
  <si>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</si>
  <si>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</si>
  <si>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</si>
  <si>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</si>
  <si>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</si>
  <si>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</si>
  <si>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</si>
  <si>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</si>
  <si>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</si>
  <si>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</si>
  <si>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</si>
  <si>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</si>
  <si>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</si>
  <si>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# of data points =</t>
  </si>
  <si>
    <t>Start of Lin fit (row)</t>
  </si>
  <si>
    <t>Start cell (x)</t>
  </si>
  <si>
    <t>Start cell (y)</t>
  </si>
  <si>
    <t>S2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</si>
  <si>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</si>
  <si>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</si>
  <si>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</si>
  <si>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</si>
  <si>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</si>
  <si>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</si>
  <si>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</si>
  <si>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</si>
  <si>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</si>
  <si>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EA:</t>
  </si>
  <si>
    <t>not avail.</t>
  </si>
  <si>
    <t>OEJV 0107</t>
  </si>
  <si>
    <t>I</t>
  </si>
  <si>
    <t>II</t>
  </si>
  <si>
    <t>OEJV 0160</t>
  </si>
  <si>
    <t>IBVS 6114</t>
  </si>
  <si>
    <t>V337 Gem / GSC 0761-1304</t>
  </si>
  <si>
    <t>JAVSO..45..121</t>
  </si>
  <si>
    <t>BAD?</t>
  </si>
  <si>
    <t>JAVSO..46..184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</si>
</sst>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7" fillId="0" borderId="0" xfId="61" applyFont="1" applyAlignment="1">
      <alignment horizontal="left"/>
      <protection/>
    </xf>
    <xf numFmtId="0" fontId="17" fillId="0" borderId="0" xfId="61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V337 Gem - Prim. O-C Diagr.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2725"/>
          <c:w val="0.872"/>
          <c:h val="0.729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34989553"/>
        <c:axId val="46470522"/>
      </c:scatterChart>
      <c:valAx>
        <c:axId val="34989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70522"/>
        <c:crosses val="autoZero"/>
        <c:crossBetween val="midCat"/>
        <c:dispUnits/>
      </c:valAx>
      <c:valAx>
        <c:axId val="46470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95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"/>
          <c:y val="0.89975"/>
          <c:w val="0.466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V337 Gem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3225"/>
          <c:w val="0.894"/>
          <c:h val="0.72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0.0011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0.0029</c:v>
                  </c:pt>
                  <c:pt idx="6">
                    <c:v>0.0003</c:v>
                  </c:pt>
                  <c:pt idx="7">
                    <c:v>0.00032</c:v>
                  </c:pt>
                  <c:pt idx="8">
                    <c:v>0.0002</c:v>
                  </c:pt>
                  <c:pt idx="9">
                    <c:v>0.0004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0.0011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0.0029</c:v>
                  </c:pt>
                  <c:pt idx="6">
                    <c:v>0.0003</c:v>
                  </c:pt>
                  <c:pt idx="7">
                    <c:v>0.00032</c:v>
                  </c:pt>
                  <c:pt idx="8">
                    <c:v>0.0002</c:v>
                  </c:pt>
                  <c:pt idx="9">
                    <c:v>0.0004</c:v>
                  </c:pt>
                  <c:pt idx="10">
                    <c:v>0.0005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0.0011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0.0011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0.0011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0.0011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15581515"/>
        <c:axId val="6015908"/>
      </c:scatterChart>
      <c:valAx>
        <c:axId val="1558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908"/>
        <c:crosses val="autoZero"/>
        <c:crossBetween val="midCat"/>
        <c:dispUnits/>
      </c:valAx>
      <c:valAx>
        <c:axId val="6015908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15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025"/>
          <c:y val="0.90625"/>
          <c:w val="0.576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V337 Gem - Sec.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3225"/>
          <c:w val="0.8725"/>
          <c:h val="0.7212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54143173"/>
        <c:axId val="17526510"/>
      </c:scatterChart>
      <c:valAx>
        <c:axId val="54143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6510"/>
        <c:crosses val="autoZero"/>
        <c:crossBetween val="midCat"/>
        <c:dispUnits/>
      </c:valAx>
      <c:valAx>
        <c:axId val="1752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31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5"/>
          <c:y val="0.90625"/>
          <c:w val="0.5072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16242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44930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76300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5.710937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50</v>
      </c>
    </row>
    <row r="2" spans="1:4" ht="12.75">
      <c r="A2" t="s">
        <v>18</v>
      </c>
      <c r="B2" t="s">
        <v>43</v>
      </c>
      <c r="C2" s="10"/>
      <c r="D2" s="10"/>
    </row>
    <row r="3" ht="13.5" thickBot="1"/>
    <row r="4" spans="1:4" ht="14.25" thickBot="1" thickTop="1">
      <c r="A4" s="6" t="s">
        <v>1</v>
      </c>
      <c r="C4" s="32" t="s">
        <v>44</v>
      </c>
      <c r="D4" s="33" t="s">
        <v>44</v>
      </c>
    </row>
    <row r="5" spans="1:4" ht="13.5" thickTop="1">
      <c r="A5" s="25" t="s">
        <v>35</v>
      </c>
      <c r="B5" s="19"/>
      <c r="C5" s="26">
        <v>-9.5</v>
      </c>
      <c r="D5" s="19" t="s">
        <v>36</v>
      </c>
    </row>
    <row r="6" ht="12.75">
      <c r="A6" s="6" t="s">
        <v>2</v>
      </c>
    </row>
    <row r="7" spans="1:3" ht="12.75">
      <c r="A7" t="s">
        <v>3</v>
      </c>
      <c r="C7">
        <v>54830.63975</v>
      </c>
    </row>
    <row r="8" spans="1:3" ht="12.75">
      <c r="A8" t="s">
        <v>4</v>
      </c>
      <c r="C8">
        <v>0.82328</v>
      </c>
    </row>
    <row r="9" spans="1:4" ht="12.75">
      <c r="A9" s="17" t="s">
        <v>30</v>
      </c>
      <c r="B9" s="17"/>
      <c r="C9" s="18">
        <v>21</v>
      </c>
      <c r="D9" s="18">
        <v>21</v>
      </c>
    </row>
    <row r="10" spans="1:4" ht="13.5" thickBot="1">
      <c r="A10" s="19"/>
      <c r="B10" s="19"/>
      <c r="C10" s="5" t="s">
        <v>20</v>
      </c>
      <c r="D10" s="5" t="s">
        <v>21</v>
      </c>
    </row>
    <row r="11" spans="1:6" ht="12.75">
      <c r="A11" s="19" t="s">
        <v>15</v>
      </c>
      <c r="B11" s="19"/>
      <c r="C11" s="20">
        <f ca="1">INTERCEPT(INDIRECT(C14):R$935,INDIRECT(C13):$F$935)</f>
        <v>0.0030124796774164686</v>
      </c>
      <c r="D11" s="20" t="e">
        <f ca="1">INTERCEPT(INDIRECT(D14):S$935,INDIRECT(D13):$F$935)</f>
        <v>#DIV/0!</v>
      </c>
      <c r="E11" s="17" t="s">
        <v>38</v>
      </c>
      <c r="F11">
        <v>1</v>
      </c>
    </row>
    <row r="12" spans="1:6" ht="12.75">
      <c r="A12" s="19" t="s">
        <v>16</v>
      </c>
      <c r="B12" s="19"/>
      <c r="C12" s="20">
        <f ca="1">SLOPE(INDIRECT(C14):R$935,INDIRECT(C13):$F$935)</f>
        <v>-1.9537057466490333E-05</v>
      </c>
      <c r="D12" s="20" t="e">
        <f ca="1">SLOPE(INDIRECT(D14):S$935,INDIRECT(D13):$F$935)</f>
        <v>#DIV/0!</v>
      </c>
      <c r="E12" s="17" t="s">
        <v>39</v>
      </c>
      <c r="F12" s="27">
        <f ca="1">NOW()+15018.5+$C$5/24</f>
        <v>59900.77036111111</v>
      </c>
    </row>
    <row r="13" spans="1:6" ht="12.75">
      <c r="A13" s="17" t="s">
        <v>31</v>
      </c>
      <c r="B13" s="17"/>
      <c r="C13" s="18" t="str">
        <f>"F"&amp;C9</f>
        <v>F21</v>
      </c>
      <c r="D13" s="18" t="str">
        <f>"F"&amp;D9</f>
        <v>F21</v>
      </c>
      <c r="E13" s="17" t="s">
        <v>40</v>
      </c>
      <c r="F13" s="27">
        <f>ROUND(2*(F12-$C$7)/$C$8,0)/2+F11</f>
        <v>6159.5</v>
      </c>
    </row>
    <row r="14" spans="1:6" ht="12.75">
      <c r="A14" s="17" t="s">
        <v>32</v>
      </c>
      <c r="B14" s="17"/>
      <c r="C14" s="18" t="str">
        <f>"R"&amp;C9</f>
        <v>R21</v>
      </c>
      <c r="D14" s="18" t="str">
        <f>"S"&amp;D9</f>
        <v>S21</v>
      </c>
      <c r="E14" s="17" t="s">
        <v>41</v>
      </c>
      <c r="F14" s="28">
        <f>ROUND(2*(F12-$C$15)/$C$16,0)/2+F11</f>
        <v>2148.5</v>
      </c>
    </row>
    <row r="15" spans="1:6" ht="12.75">
      <c r="A15" s="21" t="s">
        <v>17</v>
      </c>
      <c r="B15" s="19"/>
      <c r="C15" s="22">
        <f>($C7+C11)+($C8+C12)*INT(MAX($F21:$F3533))</f>
        <v>58132.74047934218</v>
      </c>
      <c r="D15" s="22" t="e">
        <f>($C7+D11)+($C8+D12)*INT(MAX($F21:$F3533))</f>
        <v>#DIV/0!</v>
      </c>
      <c r="E15" s="17" t="s">
        <v>42</v>
      </c>
      <c r="F15" s="29">
        <f>+$C$15+$C$16*F14-15018.5-$C$5/24</f>
        <v>44883.41141730755</v>
      </c>
    </row>
    <row r="16" spans="1:6" ht="12.75">
      <c r="A16" s="23" t="s">
        <v>5</v>
      </c>
      <c r="B16" s="19"/>
      <c r="C16" s="24">
        <f>+$C8+C12</f>
        <v>0.8232604629425335</v>
      </c>
      <c r="D16" s="20" t="e">
        <f>+$C8+D12</f>
        <v>#DIV/0!</v>
      </c>
      <c r="E16" s="30"/>
      <c r="F16" s="30" t="s">
        <v>37</v>
      </c>
    </row>
    <row r="17" spans="1:3" ht="13.5" thickBot="1">
      <c r="A17" s="16" t="s">
        <v>29</v>
      </c>
      <c r="C17">
        <f>COUNT(C21:C1247)</f>
        <v>11</v>
      </c>
    </row>
    <row r="18" spans="1:5" ht="14.25" thickBot="1" thickTop="1">
      <c r="A18" s="6" t="s">
        <v>23</v>
      </c>
      <c r="C18" s="3">
        <f>+C15</f>
        <v>58132.74047934218</v>
      </c>
      <c r="D18" s="4">
        <f>+C16</f>
        <v>0.8232604629425335</v>
      </c>
      <c r="E18" s="31">
        <f>R19</f>
        <v>9</v>
      </c>
    </row>
    <row r="19" spans="1:19" ht="14.25" thickBot="1" thickTop="1">
      <c r="A19" s="6" t="s">
        <v>24</v>
      </c>
      <c r="C19" s="37">
        <v>55970.33537</v>
      </c>
      <c r="D19" s="38">
        <v>0.8233630563578102</v>
      </c>
      <c r="E19" s="31">
        <f>S19</f>
        <v>1</v>
      </c>
      <c r="R19">
        <f>COUNT(R21:R322)</f>
        <v>9</v>
      </c>
      <c r="S19">
        <f>COUNT(S21:S322)</f>
        <v>1</v>
      </c>
    </row>
    <row r="20" spans="1:21" ht="14.25" thickBot="1" thickTop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33</v>
      </c>
      <c r="J20" s="8" t="s">
        <v>34</v>
      </c>
      <c r="K20" s="8" t="s">
        <v>27</v>
      </c>
      <c r="L20" s="8" t="s">
        <v>28</v>
      </c>
      <c r="M20" s="8" t="s">
        <v>19</v>
      </c>
      <c r="N20" s="8" t="s">
        <v>22</v>
      </c>
      <c r="O20" s="8" t="s">
        <v>25</v>
      </c>
      <c r="P20" s="7" t="s">
        <v>26</v>
      </c>
      <c r="Q20" s="5" t="s">
        <v>14</v>
      </c>
      <c r="R20" s="9" t="s">
        <v>20</v>
      </c>
      <c r="S20" s="9" t="s">
        <v>21</v>
      </c>
      <c r="U20" s="44" t="s">
        <v>52</v>
      </c>
    </row>
    <row r="21" spans="1:18" ht="12.75">
      <c r="A21" s="34" t="s">
        <v>45</v>
      </c>
      <c r="B21" s="35" t="s">
        <v>46</v>
      </c>
      <c r="C21" s="36">
        <v>54830.63975</v>
      </c>
      <c r="D21" s="36">
        <v>0.0011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0.0030124796774164686</v>
      </c>
      <c r="P21" t="e">
        <f>+D$11+D$12*$F21</f>
        <v>#DIV/0!</v>
      </c>
      <c r="Q21" s="2">
        <f>+C21-15018.5</f>
        <v>39812.13975</v>
      </c>
      <c r="R21">
        <f aca="true" t="shared" si="0" ref="R21:R26">G21</f>
        <v>0</v>
      </c>
    </row>
    <row r="22" spans="1:18" ht="12.75">
      <c r="A22" s="34" t="s">
        <v>45</v>
      </c>
      <c r="B22" s="35" t="s">
        <v>47</v>
      </c>
      <c r="C22" s="36">
        <v>54857.39394</v>
      </c>
      <c r="D22" s="36">
        <v>0.0005</v>
      </c>
      <c r="E22">
        <f aca="true" t="shared" si="1" ref="E22:E28">+(C22-C$7)/C$8</f>
        <v>32.497072684869856</v>
      </c>
      <c r="F22">
        <f aca="true" t="shared" si="2" ref="F22:F28">ROUND(2*E22,0)/2</f>
        <v>32.5</v>
      </c>
      <c r="G22">
        <f aca="true" t="shared" si="3" ref="G22:G28">+C22-(C$7+F22*C$8)</f>
        <v>-0.002410000000963919</v>
      </c>
      <c r="H22">
        <f aca="true" t="shared" si="4" ref="H22:H28">+G22</f>
        <v>-0.002410000000963919</v>
      </c>
      <c r="O22">
        <f aca="true" t="shared" si="5" ref="O22:O28">+C$11+C$12*$F22</f>
        <v>0.002377525309755533</v>
      </c>
      <c r="P22" t="e">
        <f aca="true" t="shared" si="6" ref="P22:P28">+D$11+D$12*$F22</f>
        <v>#DIV/0!</v>
      </c>
      <c r="Q22" s="2">
        <f aca="true" t="shared" si="7" ref="Q22:Q28">+C22-15018.5</f>
        <v>39838.89394</v>
      </c>
      <c r="R22">
        <f t="shared" si="0"/>
        <v>-0.002410000000963919</v>
      </c>
    </row>
    <row r="23" spans="1:18" ht="12.75">
      <c r="A23" s="34" t="s">
        <v>45</v>
      </c>
      <c r="B23" s="35" t="s">
        <v>47</v>
      </c>
      <c r="C23" s="36">
        <v>54955.36678</v>
      </c>
      <c r="D23" s="36">
        <v>0.0005</v>
      </c>
      <c r="E23">
        <f t="shared" si="1"/>
        <v>151.50013361188726</v>
      </c>
      <c r="F23">
        <f t="shared" si="2"/>
        <v>151.5</v>
      </c>
      <c r="G23">
        <f t="shared" si="3"/>
        <v>0.00010999999358318746</v>
      </c>
      <c r="H23">
        <f t="shared" si="4"/>
        <v>0.00010999999358318746</v>
      </c>
      <c r="O23">
        <f t="shared" si="5"/>
        <v>5.2615471243183144E-05</v>
      </c>
      <c r="P23" t="e">
        <f t="shared" si="6"/>
        <v>#DIV/0!</v>
      </c>
      <c r="Q23" s="2">
        <f t="shared" si="7"/>
        <v>39936.86678</v>
      </c>
      <c r="R23">
        <f t="shared" si="0"/>
        <v>0.00010999999358318746</v>
      </c>
    </row>
    <row r="24" spans="1:18" ht="12.75">
      <c r="A24" s="34" t="s">
        <v>45</v>
      </c>
      <c r="B24" s="35" t="s">
        <v>47</v>
      </c>
      <c r="C24" s="36">
        <v>54955.36718</v>
      </c>
      <c r="D24" s="36">
        <v>0.0005</v>
      </c>
      <c r="E24">
        <f t="shared" si="1"/>
        <v>151.500619473325</v>
      </c>
      <c r="F24">
        <f t="shared" si="2"/>
        <v>151.5</v>
      </c>
      <c r="G24">
        <f t="shared" si="3"/>
        <v>0.0005099999980302528</v>
      </c>
      <c r="H24">
        <f t="shared" si="4"/>
        <v>0.0005099999980302528</v>
      </c>
      <c r="O24">
        <f t="shared" si="5"/>
        <v>5.2615471243183144E-05</v>
      </c>
      <c r="P24" t="e">
        <f t="shared" si="6"/>
        <v>#DIV/0!</v>
      </c>
      <c r="Q24" s="2">
        <f t="shared" si="7"/>
        <v>39936.86718</v>
      </c>
      <c r="R24">
        <f t="shared" si="0"/>
        <v>0.0005099999980302528</v>
      </c>
    </row>
    <row r="25" spans="1:18" ht="12.75">
      <c r="A25" s="34" t="s">
        <v>45</v>
      </c>
      <c r="B25" s="35" t="s">
        <v>47</v>
      </c>
      <c r="C25" s="36">
        <v>54955.36728</v>
      </c>
      <c r="D25" s="36">
        <v>0.0005</v>
      </c>
      <c r="E25">
        <f t="shared" si="1"/>
        <v>151.50074093868</v>
      </c>
      <c r="F25">
        <f t="shared" si="2"/>
        <v>151.5</v>
      </c>
      <c r="G25">
        <f t="shared" si="3"/>
        <v>0.0006099999955040403</v>
      </c>
      <c r="H25">
        <f t="shared" si="4"/>
        <v>0.0006099999955040403</v>
      </c>
      <c r="O25">
        <f t="shared" si="5"/>
        <v>5.2615471243183144E-05</v>
      </c>
      <c r="P25" t="e">
        <f t="shared" si="6"/>
        <v>#DIV/0!</v>
      </c>
      <c r="Q25" s="2">
        <f t="shared" si="7"/>
        <v>39936.86728</v>
      </c>
      <c r="R25">
        <f t="shared" si="0"/>
        <v>0.0006099999955040403</v>
      </c>
    </row>
    <row r="26" spans="1:18" ht="12.75">
      <c r="A26" s="34" t="s">
        <v>45</v>
      </c>
      <c r="B26" s="35" t="s">
        <v>47</v>
      </c>
      <c r="C26" s="36">
        <v>54959.48994</v>
      </c>
      <c r="D26" s="36">
        <v>0.0029</v>
      </c>
      <c r="E26">
        <f t="shared" si="1"/>
        <v>156.5083446700969</v>
      </c>
      <c r="F26">
        <f t="shared" si="2"/>
        <v>156.5</v>
      </c>
      <c r="G26">
        <f t="shared" si="3"/>
        <v>0.006869999997434206</v>
      </c>
      <c r="H26">
        <f t="shared" si="4"/>
        <v>0.006869999997434206</v>
      </c>
      <c r="O26">
        <f t="shared" si="5"/>
        <v>-4.506981608926866E-05</v>
      </c>
      <c r="P26" t="e">
        <f t="shared" si="6"/>
        <v>#DIV/0!</v>
      </c>
      <c r="Q26" s="2">
        <f t="shared" si="7"/>
        <v>39940.98994</v>
      </c>
      <c r="R26">
        <f t="shared" si="0"/>
        <v>0.006869999997434206</v>
      </c>
    </row>
    <row r="27" spans="1:21" ht="12.75">
      <c r="A27" s="34" t="s">
        <v>48</v>
      </c>
      <c r="B27" s="35" t="s">
        <v>46</v>
      </c>
      <c r="C27" s="36">
        <v>55893.59501</v>
      </c>
      <c r="D27" s="36">
        <v>0.0003</v>
      </c>
      <c r="E27">
        <f t="shared" si="1"/>
        <v>1291.122412787867</v>
      </c>
      <c r="F27">
        <f t="shared" si="2"/>
        <v>1291</v>
      </c>
      <c r="G27">
        <f t="shared" si="3"/>
        <v>0.10077999999339227</v>
      </c>
      <c r="H27">
        <f t="shared" si="4"/>
        <v>0.10077999999339227</v>
      </c>
      <c r="O27">
        <f t="shared" si="5"/>
        <v>-0.02220986151182255</v>
      </c>
      <c r="P27" t="e">
        <f t="shared" si="6"/>
        <v>#DIV/0!</v>
      </c>
      <c r="Q27" s="2">
        <f t="shared" si="7"/>
        <v>40875.09501</v>
      </c>
      <c r="U27">
        <f>H27</f>
        <v>0.10077999999339227</v>
      </c>
    </row>
    <row r="28" spans="1:19" ht="12.75">
      <c r="A28" s="39" t="s">
        <v>49</v>
      </c>
      <c r="B28" s="40" t="s">
        <v>46</v>
      </c>
      <c r="C28" s="39">
        <v>55970.33537</v>
      </c>
      <c r="D28" s="39">
        <v>0.00032</v>
      </c>
      <c r="E28">
        <f t="shared" si="1"/>
        <v>1384.3353658536569</v>
      </c>
      <c r="F28">
        <f t="shared" si="2"/>
        <v>1384.5</v>
      </c>
      <c r="G28">
        <f t="shared" si="3"/>
        <v>-0.13554000000294764</v>
      </c>
      <c r="H28">
        <f t="shared" si="4"/>
        <v>-0.13554000000294764</v>
      </c>
      <c r="O28">
        <f t="shared" si="5"/>
        <v>-0.024036576384939397</v>
      </c>
      <c r="P28" t="e">
        <f t="shared" si="6"/>
        <v>#DIV/0!</v>
      </c>
      <c r="Q28" s="2">
        <f t="shared" si="7"/>
        <v>40951.83537</v>
      </c>
      <c r="S28">
        <f>G28</f>
        <v>-0.13554000000294764</v>
      </c>
    </row>
    <row r="29" spans="1:18" ht="12.75">
      <c r="A29" s="41" t="s">
        <v>51</v>
      </c>
      <c r="B29" s="42" t="s">
        <v>47</v>
      </c>
      <c r="C29" s="43">
        <v>57424.7116</v>
      </c>
      <c r="D29" s="43">
        <v>0.0002</v>
      </c>
      <c r="E29">
        <f>+(C29-C$7)/C$8</f>
        <v>3150.8986614517544</v>
      </c>
      <c r="F29">
        <f>ROUND(2*E29,0)/2</f>
        <v>3151</v>
      </c>
      <c r="G29">
        <f>+C29-(C$7+F29*C$8)</f>
        <v>-0.08342999999877065</v>
      </c>
      <c r="H29">
        <f>+G29</f>
        <v>-0.08342999999877065</v>
      </c>
      <c r="O29">
        <f aca="true" t="shared" si="8" ref="O29:P31">+C$11+C$12*$F29</f>
        <v>-0.058548788399494574</v>
      </c>
      <c r="P29" t="e">
        <f t="shared" si="8"/>
        <v>#DIV/0!</v>
      </c>
      <c r="Q29" s="2">
        <f>+C29-15018.5</f>
        <v>42406.2116</v>
      </c>
      <c r="R29">
        <f>G29</f>
        <v>-0.08342999999877065</v>
      </c>
    </row>
    <row r="30" spans="1:18" ht="12.75">
      <c r="A30" s="45" t="s">
        <v>0</v>
      </c>
      <c r="B30" s="46" t="s">
        <v>46</v>
      </c>
      <c r="C30" s="45">
        <v>58132.7069</v>
      </c>
      <c r="D30" s="45">
        <v>0.0004</v>
      </c>
      <c r="E30">
        <f>+(C30-C$7)/C$8</f>
        <v>4010.8676877854377</v>
      </c>
      <c r="F30">
        <f>ROUND(2*E30,0)/2</f>
        <v>4011</v>
      </c>
      <c r="G30">
        <f>+C30-(C$7+F30*C$8)</f>
        <v>-0.1089300000021467</v>
      </c>
      <c r="H30">
        <f>+G30</f>
        <v>-0.1089300000021467</v>
      </c>
      <c r="O30">
        <f t="shared" si="8"/>
        <v>-0.07535065782067626</v>
      </c>
      <c r="P30" t="e">
        <f t="shared" si="8"/>
        <v>#DIV/0!</v>
      </c>
      <c r="Q30" s="2">
        <f>+C30-15018.5</f>
        <v>43114.2069</v>
      </c>
      <c r="R30">
        <f>G30</f>
        <v>-0.1089300000021467</v>
      </c>
    </row>
    <row r="31" spans="1:18" ht="12.75">
      <c r="A31" s="47" t="s">
        <v>53</v>
      </c>
      <c r="B31" s="48" t="s">
        <v>47</v>
      </c>
      <c r="C31" s="49">
        <v>57825.7226</v>
      </c>
      <c r="D31" s="49">
        <v>0.0005</v>
      </c>
      <c r="E31">
        <f>+(C31-C$7)/C$8</f>
        <v>3637.9881085414427</v>
      </c>
      <c r="F31">
        <f>ROUND(2*E31,0)/2</f>
        <v>3638</v>
      </c>
      <c r="G31">
        <f>+C31-(C$7+F31*C$8)</f>
        <v>-0.009790000003704336</v>
      </c>
      <c r="H31">
        <f>+G31</f>
        <v>-0.009790000003704336</v>
      </c>
      <c r="O31">
        <f t="shared" si="8"/>
        <v>-0.06806333538567537</v>
      </c>
      <c r="P31" t="e">
        <f t="shared" si="8"/>
        <v>#DIV/0!</v>
      </c>
      <c r="Q31" s="2">
        <f>+C31-15018.5</f>
        <v>42807.2226</v>
      </c>
      <c r="R31">
        <f>G31</f>
        <v>-0.009790000003704336</v>
      </c>
    </row>
    <row r="32" spans="1:17" ht="12.75">
      <c r="A32" s="13"/>
      <c r="B32" s="14"/>
      <c r="C32" s="11"/>
      <c r="D32" s="11"/>
      <c r="Q32" s="2"/>
    </row>
    <row r="33" spans="1:17" ht="12.75">
      <c r="A33" s="15"/>
      <c r="B33" s="10"/>
      <c r="C33" s="11"/>
      <c r="D33" s="12"/>
      <c r="Q33" s="2"/>
    </row>
    <row r="34" spans="1:17" ht="12.75">
      <c r="A34" s="15"/>
      <c r="B34" s="10"/>
      <c r="C34" s="11"/>
      <c r="D34" s="12"/>
      <c r="Q34" s="2"/>
    </row>
    <row r="35" spans="1:17" ht="12.75">
      <c r="A35" s="15"/>
      <c r="B35" s="10"/>
      <c r="C35" s="11"/>
      <c r="D35" s="12"/>
      <c r="Q35" s="2"/>
    </row>
  </sheetData>
  <sheetProtection/>
  <protectedRanges>
    <protectedRange sqref="A31:D31" name="Range1"/>
  </protectedRanges>
  <hyperlinks>
    <hyperlink ref="H64189" r:id="rId1" display="http://vsolj.cetus-net.org/bulletin.html"/>
    <hyperlink ref="H64182" r:id="rId2" display="https://www.aavso.org/ejaavso"/>
    <hyperlink ref="I64189" r:id="rId3" display="http://vsolj.cetus-net.org/bulletin.html"/>
    <hyperlink ref="AQ57840" r:id="rId4" display="http://cdsbib.u-strasbg.fr/cgi-bin/cdsbib?1990RMxAA..21..381G"/>
    <hyperlink ref="H64186" r:id="rId5" display="https://www.aavso.org/ejaavso"/>
    <hyperlink ref="AP5204" r:id="rId6" display="http://cdsbib.u-strasbg.fr/cgi-bin/cdsbib?1990RMxAA..21..381G"/>
    <hyperlink ref="AP5207" r:id="rId7" display="http://cdsbib.u-strasbg.fr/cgi-bin/cdsbib?1990RMxAA..21..381G"/>
    <hyperlink ref="AP5205" r:id="rId8" display="http://cdsbib.u-strasbg.fr/cgi-bin/cdsbib?1990RMxAA..21..381G"/>
    <hyperlink ref="AP5189" r:id="rId9" display="http://cdsbib.u-strasbg.fr/cgi-bin/cdsbib?1990RMxAA..21..381G"/>
    <hyperlink ref="AQ5418" r:id="rId10" display="http://cdsbib.u-strasbg.fr/cgi-bin/cdsbib?1990RMxAA..21..381G"/>
    <hyperlink ref="AQ5422" r:id="rId11" display="http://cdsbib.u-strasbg.fr/cgi-bin/cdsbib?1990RMxAA..21..381G"/>
    <hyperlink ref="AQ65102" r:id="rId12" display="http://cdsbib.u-strasbg.fr/cgi-bin/cdsbib?1990RMxAA..21..381G"/>
    <hyperlink ref="I2310" r:id="rId13" display="http://vsolj.cetus-net.org/bulletin.html"/>
    <hyperlink ref="H2310" r:id="rId14" display="http://vsolj.cetus-net.org/bulletin.html"/>
    <hyperlink ref="AQ227" r:id="rId15" display="http://cdsbib.u-strasbg.fr/cgi-bin/cdsbib?1990RMxAA..21..381G"/>
    <hyperlink ref="AQ226" r:id="rId16" display="http://cdsbib.u-strasbg.fr/cgi-bin/cdsbib?1990RMxAA..21..381G"/>
    <hyperlink ref="AP3480" r:id="rId17" display="http://cdsbib.u-strasbg.fr/cgi-bin/cdsbib?1990RMxAA..21..381G"/>
    <hyperlink ref="AP3498" r:id="rId18" display="http://cdsbib.u-strasbg.fr/cgi-bin/cdsbib?1990RMxAA..21..381G"/>
    <hyperlink ref="AP3499" r:id="rId19" display="http://cdsbib.u-strasbg.fr/cgi-bin/cdsbib?1990RMxAA..21..381G"/>
    <hyperlink ref="AP3495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