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<sst xmlns="http://schemas.openxmlformats.org/spreadsheetml/2006/main" count="76" uniqueCount="55">
  <si>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PE</t>
  </si>
  <si>
    <t>IBVS 6196</t>
  </si>
  <si>
    <t>0.0012</t>
  </si>
  <si>
    <t>I</t>
  </si>
  <si>
    <t>CCD</t>
  </si>
  <si>
    <t>pg</t>
  </si>
  <si>
    <t>0.0035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</si>
  <si>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</si>
  <si>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</si>
  <si>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</si>
  <si>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</si>
  <si>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</si>
  <si>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</si>
  <si>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</si>
  <si>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</si>
  <si>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</si>
  <si>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</si>
  <si>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</si>
  <si>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</si>
  <si>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</si>
  <si>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</si>
  <si>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</si>
  <si>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</si>
  <si>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</si>
  <si>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</si>
  <si>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</si>
  <si>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</si>
  <si>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</si>
  <si>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</si>
  <si>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</si>
  <si>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</si>
  <si>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</si>
  <si>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</si>
  <si>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</si>
  <si>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</si>
  <si>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</si>
  <si>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</si>
  <si>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</si>
  <si>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</si>
  <si>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5657</t>
  </si>
  <si>
    <t>EW</t>
  </si>
  <si>
    <t>IBVS 5699 Eph.</t>
  </si>
  <si>
    <t>IBVS 5875</t>
  </si>
  <si>
    <t>IBVS 6029</t>
  </si>
  <si>
    <t>II</t>
  </si>
  <si>
    <t>Start of linear fit &gt;&gt;&gt;&gt;&gt;&gt;&gt;&gt;&gt;&gt;&gt;&gt;&gt;&gt;&gt;&gt;&gt;&gt;&gt;&gt;&gt;</t>
  </si>
  <si>
    <t>Add cycle</t>
  </si>
  <si>
    <t>Old Cycle</t>
  </si>
  <si>
    <t>V0415 Gem / GSC 1331-0726</t>
  </si>
  <si>
    <t>IBVS 6195</t>
  </si>
  <si>
    <t>vis</t>
  </si>
  <si>
    <t>VSB-64</t>
  </si>
  <si>
    <t>V</t>
  </si>
  <si>
    <t>Nelson</t>
  </si>
  <si>
    <t>RHN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</si>
</sst>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176" fontId="29" fillId="0" borderId="0" xfId="0" applyNumberFormat="1" applyFont="1" applyFill="1" applyBorder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V0415 Gem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5"/>
          <c:w val="0.914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0.0006</c:v>
                  </c:pt>
                  <c:pt idx="5">
                    <c:v>0.0007</c:v>
                  </c:pt>
                  <c:pt idx="6">
                    <c:v>0.0009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0.0004</c:v>
                  </c:pt>
                  <c:pt idx="10">
                    <c:v>0.0004</c:v>
                  </c:pt>
                  <c:pt idx="11">
                    <c:v>0.0004</c:v>
                  </c:pt>
                  <c:pt idx="12">
                    <c:v>0.0005</c:v>
                  </c:pt>
                  <c:pt idx="13">
                    <c:v>0.0002</c:v>
                  </c:pt>
                  <c:pt idx="14">
                    <c:v>0.0006</c:v>
                  </c:pt>
                  <c:pt idx="15">
                    <c:v>0.0003</c:v>
                  </c:pt>
                  <c:pt idx="16">
                    <c:v>0.0005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776588"/>
        <c:axId val="49444973"/>
      </c:scatterChart>
      <c:valAx>
        <c:axId val="4277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4973"/>
        <c:crosses val="autoZero"/>
        <c:crossBetween val="midCat"/>
        <c:dispUnits/>
      </c:valAx>
      <c:valAx>
        <c:axId val="494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765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305"/>
          <c:w val="0.599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43425" y="0"/>
        <a:ext cx="67437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4" ht="12.75">
      <c r="A2" t="s">
        <v>30</v>
      </c>
      <c r="B2" t="s">
        <v>40</v>
      </c>
      <c r="C2" s="3"/>
      <c r="D2" s="3"/>
    </row>
    <row r="3" ht="13.5" thickBot="1"/>
    <row r="4" spans="1:4" ht="13.5" thickBot="1">
      <c r="A4" s="21" t="s">
        <v>41</v>
      </c>
      <c r="C4" s="26">
        <v>53381.5558</v>
      </c>
      <c r="D4" s="27">
        <v>0.350606</v>
      </c>
    </row>
    <row r="5" spans="1:4" ht="12.75">
      <c r="A5" s="9" t="s">
        <v>34</v>
      </c>
      <c r="B5" s="10"/>
      <c r="C5" s="11">
        <v>-9.5</v>
      </c>
      <c r="D5" s="10" t="s">
        <v>35</v>
      </c>
    </row>
    <row r="6" ht="12.75">
      <c r="A6" s="5" t="s">
        <v>7</v>
      </c>
    </row>
    <row r="7" spans="1:4" ht="12.75">
      <c r="A7" t="s">
        <v>8</v>
      </c>
      <c r="C7">
        <v>53381.5558</v>
      </c>
      <c r="D7" s="21"/>
    </row>
    <row r="8" spans="1:4" ht="12.75">
      <c r="A8" t="s">
        <v>9</v>
      </c>
      <c r="C8">
        <v>0.350606</v>
      </c>
      <c r="D8" s="22"/>
    </row>
    <row r="9" spans="1:4" ht="12.75">
      <c r="A9" s="29" t="s">
        <v>45</v>
      </c>
      <c r="B9" s="30">
        <v>35</v>
      </c>
      <c r="C9" s="31" t="str">
        <f>"F"&amp;B9</f>
        <v>F35</v>
      </c>
      <c r="D9" s="32" t="str">
        <f>"G"&amp;B9</f>
        <v>G35</v>
      </c>
    </row>
    <row r="10" spans="1:5" ht="13.5" thickBot="1">
      <c r="A10" s="10"/>
      <c r="B10" s="10"/>
      <c r="C10" s="4" t="s">
        <v>26</v>
      </c>
      <c r="D10" s="4" t="s">
        <v>27</v>
      </c>
      <c r="E10" s="10"/>
    </row>
    <row r="11" spans="1:5" ht="12.75">
      <c r="A11" s="10" t="s">
        <v>22</v>
      </c>
      <c r="B11" s="10"/>
      <c r="C11" s="33">
        <f ca="1">INTERCEPT(INDIRECT($D$9):G992,INDIRECT($C$9):F992)</f>
        <v>0.001021941762255947</v>
      </c>
      <c r="D11" s="3"/>
      <c r="E11" s="10"/>
    </row>
    <row r="12" spans="1:5" ht="12.75">
      <c r="A12" s="10" t="s">
        <v>23</v>
      </c>
      <c r="B12" s="10"/>
      <c r="C12" s="33">
        <f ca="1">SLOPE(INDIRECT($D$9):G992,INDIRECT($C$9):F992)</f>
        <v>3.1965862267107373E-07</v>
      </c>
      <c r="D12" s="3"/>
      <c r="E12" s="10"/>
    </row>
    <row r="13" spans="1:3" ht="12.75">
      <c r="A13" s="10" t="s">
        <v>25</v>
      </c>
      <c r="B13" s="10"/>
      <c r="C13" s="3" t="s">
        <v>20</v>
      </c>
    </row>
    <row r="14" spans="1:3" ht="12.75">
      <c r="A14" s="10"/>
      <c r="B14" s="10"/>
      <c r="C14" s="10"/>
    </row>
    <row r="15" spans="1:6" ht="12.75">
      <c r="A15" s="12" t="s">
        <v>24</v>
      </c>
      <c r="B15" s="10"/>
      <c r="C15" s="13">
        <f>(C7+C11)+(C8+C12)*INT(MAX(F21:F3533))</f>
        <v>58532.66487036624</v>
      </c>
      <c r="E15" s="14" t="s">
        <v>46</v>
      </c>
      <c r="F15" s="11">
        <v>1</v>
      </c>
    </row>
    <row r="16" spans="1:6" ht="12.75">
      <c r="A16" s="16" t="s">
        <v>10</v>
      </c>
      <c r="B16" s="10"/>
      <c r="C16" s="17">
        <f>+C8+C12</f>
        <v>0.35060631965862266</v>
      </c>
      <c r="E16" s="14" t="s">
        <v>36</v>
      </c>
      <c r="F16" s="15">
        <f ca="1">NOW()+15018.5+$C$5/24</f>
        <v>59900.77623784722</v>
      </c>
    </row>
    <row r="17" spans="1:6" ht="13.5" thickBot="1">
      <c r="A17" s="14" t="s">
        <v>33</v>
      </c>
      <c r="B17" s="10"/>
      <c r="C17" s="10">
        <f>COUNT(C21:C2191)</f>
        <v>24</v>
      </c>
      <c r="E17" s="14" t="s">
        <v>47</v>
      </c>
      <c r="F17" s="15">
        <f>ROUND(2*(F16-$C$7)/$C$8,0)/2+F15</f>
        <v>18595</v>
      </c>
    </row>
    <row r="18" spans="1:6" ht="14.25" thickBot="1" thickTop="1">
      <c r="A18" s="16" t="s">
        <v>11</v>
      </c>
      <c r="B18" s="10"/>
      <c r="C18" s="19">
        <f>+C15</f>
        <v>58532.66487036624</v>
      </c>
      <c r="D18" s="20">
        <f>+C16</f>
        <v>0.35060631965862266</v>
      </c>
      <c r="E18" s="14" t="s">
        <v>37</v>
      </c>
      <c r="F18" s="32">
        <f>ROUND(2*(F16-$C$15)/$C$16,0)/2+F15</f>
        <v>3903</v>
      </c>
    </row>
    <row r="19" spans="5:6" ht="13.5" thickTop="1">
      <c r="E19" s="14" t="s">
        <v>38</v>
      </c>
      <c r="F19" s="18">
        <f>+$C$15+$C$16*F18-15018.5-$C$5/24</f>
        <v>44882.97716932718</v>
      </c>
    </row>
    <row r="20" spans="1:17" ht="13.5" thickBot="1">
      <c r="A20" s="4" t="s">
        <v>12</v>
      </c>
      <c r="B20" s="4" t="s">
        <v>13</v>
      </c>
      <c r="C20" s="4" t="s">
        <v>14</v>
      </c>
      <c r="D20" s="4" t="s">
        <v>19</v>
      </c>
      <c r="E20" s="4" t="s">
        <v>15</v>
      </c>
      <c r="F20" s="4" t="s">
        <v>16</v>
      </c>
      <c r="G20" s="4" t="s">
        <v>17</v>
      </c>
      <c r="H20" s="7" t="s">
        <v>5</v>
      </c>
      <c r="I20" s="7" t="s">
        <v>50</v>
      </c>
      <c r="J20" s="7" t="s">
        <v>0</v>
      </c>
      <c r="K20" s="7" t="s">
        <v>4</v>
      </c>
      <c r="L20" s="7" t="s">
        <v>53</v>
      </c>
      <c r="M20" s="7" t="s">
        <v>31</v>
      </c>
      <c r="N20" s="7" t="s">
        <v>32</v>
      </c>
      <c r="O20" s="7" t="s">
        <v>29</v>
      </c>
      <c r="P20" s="6" t="s">
        <v>28</v>
      </c>
      <c r="Q20" s="4" t="s">
        <v>21</v>
      </c>
    </row>
    <row r="21" spans="1:17" ht="12.75">
      <c r="A21" t="s">
        <v>18</v>
      </c>
      <c r="C21" s="8">
        <v>53381.5558</v>
      </c>
      <c r="D21" s="8" t="s">
        <v>20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K21">
        <f>+G21</f>
        <v>0</v>
      </c>
      <c r="O21">
        <f>+C$11+C$12*$F21</f>
        <v>0.001021941762255947</v>
      </c>
      <c r="Q21" s="2">
        <f>+C21-15018.5</f>
        <v>38363.0558</v>
      </c>
    </row>
    <row r="22" spans="1:17" ht="12.75">
      <c r="A22" s="23" t="s">
        <v>39</v>
      </c>
      <c r="B22" s="24"/>
      <c r="C22" s="25">
        <v>53381.3786</v>
      </c>
      <c r="D22" s="25">
        <v>0.0004</v>
      </c>
      <c r="E22">
        <f aca="true" t="shared" si="0" ref="E22:E35">+(C22-C$7)/C$8</f>
        <v>-0.5054106318931831</v>
      </c>
      <c r="F22">
        <f aca="true" t="shared" si="1" ref="F22:F41">ROUND(2*E22,0)/2</f>
        <v>-0.5</v>
      </c>
      <c r="G22">
        <f aca="true" t="shared" si="2" ref="G22:G35">+C22-(C$7+F22*C$8)</f>
        <v>-0.0018970000019180588</v>
      </c>
      <c r="J22">
        <f aca="true" t="shared" si="3" ref="J22:J35">+G22</f>
        <v>-0.0018970000019180588</v>
      </c>
      <c r="O22">
        <f aca="true" t="shared" si="4" ref="O22:O35">+C$11+C$12*$F22</f>
        <v>0.0010217819329446114</v>
      </c>
      <c r="Q22" s="2">
        <f aca="true" t="shared" si="5" ref="Q22:Q35">+C22-15018.5</f>
        <v>38362.8786</v>
      </c>
    </row>
    <row r="23" spans="1:17" ht="12.75">
      <c r="A23" s="23" t="s">
        <v>39</v>
      </c>
      <c r="B23" s="24"/>
      <c r="C23" s="25">
        <v>53381.5558</v>
      </c>
      <c r="D23" s="25">
        <v>0.0003</v>
      </c>
      <c r="E23">
        <f t="shared" si="0"/>
        <v>0</v>
      </c>
      <c r="F23">
        <f t="shared" si="1"/>
        <v>0</v>
      </c>
      <c r="G23">
        <f t="shared" si="2"/>
        <v>0</v>
      </c>
      <c r="J23">
        <f t="shared" si="3"/>
        <v>0</v>
      </c>
      <c r="O23">
        <f t="shared" si="4"/>
        <v>0.001021941762255947</v>
      </c>
      <c r="Q23" s="2">
        <f t="shared" si="5"/>
        <v>38363.0558</v>
      </c>
    </row>
    <row r="24" spans="1:17" ht="12.75">
      <c r="A24" s="23" t="s">
        <v>39</v>
      </c>
      <c r="B24" s="24"/>
      <c r="C24" s="25">
        <v>53382.6067</v>
      </c>
      <c r="D24" s="25">
        <v>0.0006</v>
      </c>
      <c r="E24">
        <f t="shared" si="0"/>
        <v>2.9973816762825694</v>
      </c>
      <c r="F24">
        <f t="shared" si="1"/>
        <v>3</v>
      </c>
      <c r="G24">
        <f t="shared" si="2"/>
        <v>-0.0009180000051856041</v>
      </c>
      <c r="J24">
        <f t="shared" si="3"/>
        <v>-0.0009180000051856041</v>
      </c>
      <c r="O24">
        <f t="shared" si="4"/>
        <v>0.0010229007381239602</v>
      </c>
      <c r="Q24" s="2">
        <f t="shared" si="5"/>
        <v>38364.1067</v>
      </c>
    </row>
    <row r="25" spans="1:17" ht="12.75">
      <c r="A25" s="23" t="s">
        <v>39</v>
      </c>
      <c r="B25" s="24"/>
      <c r="C25" s="25">
        <v>53386.2895</v>
      </c>
      <c r="D25" s="25">
        <v>0.0006</v>
      </c>
      <c r="E25">
        <f t="shared" si="0"/>
        <v>13.501480294110893</v>
      </c>
      <c r="F25">
        <f t="shared" si="1"/>
        <v>13.5</v>
      </c>
      <c r="G25">
        <f t="shared" si="2"/>
        <v>0.0005189999938011169</v>
      </c>
      <c r="J25">
        <f t="shared" si="3"/>
        <v>0.0005189999938011169</v>
      </c>
      <c r="O25">
        <f t="shared" si="4"/>
        <v>0.0010262571536620063</v>
      </c>
      <c r="Q25" s="2">
        <f t="shared" si="5"/>
        <v>38367.7895</v>
      </c>
    </row>
    <row r="26" spans="1:17" ht="12.75">
      <c r="A26" s="23" t="s">
        <v>39</v>
      </c>
      <c r="B26" s="24"/>
      <c r="C26" s="25">
        <v>53386.4625</v>
      </c>
      <c r="D26" s="25">
        <v>0.0007</v>
      </c>
      <c r="E26">
        <f t="shared" si="0"/>
        <v>13.994911667226306</v>
      </c>
      <c r="F26">
        <f t="shared" si="1"/>
        <v>14</v>
      </c>
      <c r="G26">
        <f t="shared" si="2"/>
        <v>-0.0017840000000433065</v>
      </c>
      <c r="J26">
        <f t="shared" si="3"/>
        <v>-0.0017840000000433065</v>
      </c>
      <c r="O26">
        <f t="shared" si="4"/>
        <v>0.0010264169829733419</v>
      </c>
      <c r="Q26" s="2">
        <f t="shared" si="5"/>
        <v>38367.9625</v>
      </c>
    </row>
    <row r="27" spans="1:17" ht="12.75">
      <c r="A27" s="23" t="s">
        <v>39</v>
      </c>
      <c r="B27" s="24"/>
      <c r="C27" s="25">
        <v>53386.6386</v>
      </c>
      <c r="D27" s="25">
        <v>0.0009</v>
      </c>
      <c r="E27">
        <f t="shared" si="0"/>
        <v>14.497184874179268</v>
      </c>
      <c r="F27">
        <f t="shared" si="1"/>
        <v>14.5</v>
      </c>
      <c r="G27">
        <f t="shared" si="2"/>
        <v>-0.0009870000067166984</v>
      </c>
      <c r="J27">
        <f t="shared" si="3"/>
        <v>-0.0009870000067166984</v>
      </c>
      <c r="O27">
        <f t="shared" si="4"/>
        <v>0.0010265768122846774</v>
      </c>
      <c r="Q27" s="2">
        <f t="shared" si="5"/>
        <v>38368.1386</v>
      </c>
    </row>
    <row r="28" spans="1:17" ht="12.75">
      <c r="A28" s="23" t="s">
        <v>39</v>
      </c>
      <c r="B28" s="24"/>
      <c r="C28" s="25">
        <v>53387.34</v>
      </c>
      <c r="D28" s="25">
        <v>0.0006</v>
      </c>
      <c r="E28">
        <f t="shared" si="0"/>
        <v>16.497721088613996</v>
      </c>
      <c r="F28">
        <f t="shared" si="1"/>
        <v>16.5</v>
      </c>
      <c r="G28">
        <f t="shared" si="2"/>
        <v>-0.0007990000085555948</v>
      </c>
      <c r="J28">
        <f t="shared" si="3"/>
        <v>-0.0007990000085555948</v>
      </c>
      <c r="O28">
        <f t="shared" si="4"/>
        <v>0.0010272161295300196</v>
      </c>
      <c r="Q28" s="2">
        <f t="shared" si="5"/>
        <v>38368.84</v>
      </c>
    </row>
    <row r="29" spans="1:17" ht="12.75">
      <c r="A29" s="23" t="s">
        <v>39</v>
      </c>
      <c r="B29" s="24"/>
      <c r="C29" s="25">
        <v>53387.5153</v>
      </c>
      <c r="D29" s="25">
        <v>0.0004</v>
      </c>
      <c r="E29">
        <f t="shared" si="0"/>
        <v>16.997712532008027</v>
      </c>
      <c r="F29">
        <f t="shared" si="1"/>
        <v>17</v>
      </c>
      <c r="G29">
        <f t="shared" si="2"/>
        <v>-0.0008020000022952445</v>
      </c>
      <c r="J29">
        <f t="shared" si="3"/>
        <v>-0.0008020000022952445</v>
      </c>
      <c r="O29">
        <f t="shared" si="4"/>
        <v>0.0010273759588413551</v>
      </c>
      <c r="Q29" s="2">
        <f t="shared" si="5"/>
        <v>38369.0153</v>
      </c>
    </row>
    <row r="30" spans="1:17" ht="12.75">
      <c r="A30" s="23" t="s">
        <v>39</v>
      </c>
      <c r="B30" s="24"/>
      <c r="C30" s="25">
        <v>53407.3255</v>
      </c>
      <c r="D30" s="25">
        <v>0.0004</v>
      </c>
      <c r="E30">
        <f t="shared" si="0"/>
        <v>73.50045350050229</v>
      </c>
      <c r="F30">
        <f t="shared" si="1"/>
        <v>73.5</v>
      </c>
      <c r="G30">
        <f t="shared" si="2"/>
        <v>0.00015899999561952427</v>
      </c>
      <c r="J30">
        <f t="shared" si="3"/>
        <v>0.00015899999561952427</v>
      </c>
      <c r="O30">
        <f t="shared" si="4"/>
        <v>0.0010454366710222708</v>
      </c>
      <c r="Q30" s="2">
        <f t="shared" si="5"/>
        <v>38388.8255</v>
      </c>
    </row>
    <row r="31" spans="1:17" ht="12.75">
      <c r="A31" s="23" t="s">
        <v>39</v>
      </c>
      <c r="B31" s="24"/>
      <c r="C31" s="25">
        <v>53408.377</v>
      </c>
      <c r="D31" s="25">
        <v>0.0004</v>
      </c>
      <c r="E31">
        <f t="shared" si="0"/>
        <v>76.49954649948518</v>
      </c>
      <c r="F31">
        <f t="shared" si="1"/>
        <v>76.5</v>
      </c>
      <c r="G31">
        <f t="shared" si="2"/>
        <v>-0.00015900000289548188</v>
      </c>
      <c r="J31">
        <f t="shared" si="3"/>
        <v>-0.00015900000289548188</v>
      </c>
      <c r="O31">
        <f t="shared" si="4"/>
        <v>0.001046395646890284</v>
      </c>
      <c r="Q31" s="2">
        <f t="shared" si="5"/>
        <v>38389.877</v>
      </c>
    </row>
    <row r="32" spans="1:17" ht="12.75">
      <c r="A32" s="23" t="s">
        <v>39</v>
      </c>
      <c r="B32" s="24"/>
      <c r="C32" s="25">
        <v>53408.5518</v>
      </c>
      <c r="D32" s="25">
        <v>0.0004</v>
      </c>
      <c r="E32">
        <f t="shared" si="0"/>
        <v>76.99811184063931</v>
      </c>
      <c r="F32">
        <f t="shared" si="1"/>
        <v>77</v>
      </c>
      <c r="G32">
        <f t="shared" si="2"/>
        <v>-0.0006619999985559843</v>
      </c>
      <c r="J32">
        <f t="shared" si="3"/>
        <v>-0.0006619999985559843</v>
      </c>
      <c r="O32">
        <f t="shared" si="4"/>
        <v>0.0010465554762016196</v>
      </c>
      <c r="Q32" s="2">
        <f t="shared" si="5"/>
        <v>38390.0518</v>
      </c>
    </row>
    <row r="33" spans="1:17" ht="12.75">
      <c r="A33" s="23" t="s">
        <v>39</v>
      </c>
      <c r="B33" s="24"/>
      <c r="C33" s="25">
        <v>53409.43</v>
      </c>
      <c r="D33" s="25">
        <v>0.0005</v>
      </c>
      <c r="E33">
        <f t="shared" si="0"/>
        <v>79.502917805167</v>
      </c>
      <c r="F33">
        <f t="shared" si="1"/>
        <v>79.5</v>
      </c>
      <c r="G33">
        <f t="shared" si="2"/>
        <v>0.0010229999970761128</v>
      </c>
      <c r="J33">
        <f t="shared" si="3"/>
        <v>0.0010229999970761128</v>
      </c>
      <c r="O33">
        <f t="shared" si="4"/>
        <v>0.0010473546227582973</v>
      </c>
      <c r="Q33" s="2">
        <f t="shared" si="5"/>
        <v>38390.93</v>
      </c>
    </row>
    <row r="34" spans="1:17" ht="12.75">
      <c r="A34" s="23" t="s">
        <v>39</v>
      </c>
      <c r="B34" s="24"/>
      <c r="C34" s="25">
        <v>53410.3038</v>
      </c>
      <c r="D34" s="25">
        <v>0.0002</v>
      </c>
      <c r="E34">
        <f t="shared" si="0"/>
        <v>81.99517407003758</v>
      </c>
      <c r="F34">
        <f t="shared" si="1"/>
        <v>82</v>
      </c>
      <c r="G34">
        <f t="shared" si="2"/>
        <v>-0.0016919999980018474</v>
      </c>
      <c r="J34">
        <f t="shared" si="3"/>
        <v>-0.0016919999980018474</v>
      </c>
      <c r="O34">
        <f t="shared" si="4"/>
        <v>0.001048153769314975</v>
      </c>
      <c r="Q34" s="2">
        <f t="shared" si="5"/>
        <v>38391.8038</v>
      </c>
    </row>
    <row r="35" spans="1:17" ht="12.75">
      <c r="A35" s="23" t="s">
        <v>39</v>
      </c>
      <c r="B35" s="24"/>
      <c r="C35" s="25">
        <v>53410.4804</v>
      </c>
      <c r="D35" s="25">
        <v>0.0006</v>
      </c>
      <c r="E35">
        <f t="shared" si="0"/>
        <v>82.49887337923043</v>
      </c>
      <c r="F35">
        <f t="shared" si="1"/>
        <v>82.5</v>
      </c>
      <c r="G35">
        <f t="shared" si="2"/>
        <v>-0.0003950000027543865</v>
      </c>
      <c r="J35">
        <f t="shared" si="3"/>
        <v>-0.0003950000027543865</v>
      </c>
      <c r="O35">
        <f t="shared" si="4"/>
        <v>0.0010483135986263106</v>
      </c>
      <c r="Q35" s="2">
        <f t="shared" si="5"/>
        <v>38391.9804</v>
      </c>
    </row>
    <row r="36" spans="1:17" ht="12.75">
      <c r="A36" s="28" t="s">
        <v>42</v>
      </c>
      <c r="C36" s="8">
        <v>54819.9195</v>
      </c>
      <c r="D36" s="8">
        <v>0.0003</v>
      </c>
      <c r="E36">
        <f aca="true" t="shared" si="6" ref="E36:E41">+(C36-C$7)/C$8</f>
        <v>4102.5073729485575</v>
      </c>
      <c r="F36">
        <f t="shared" si="1"/>
        <v>4102.5</v>
      </c>
      <c r="G36">
        <f aca="true" t="shared" si="7" ref="G36:G41">+C36-(C$7+F36*C$8)</f>
        <v>0.0025850000020000152</v>
      </c>
      <c r="L36">
        <f>+G36</f>
        <v>0.0025850000020000152</v>
      </c>
      <c r="O36">
        <f aca="true" t="shared" si="8" ref="O36:O41">+C$11+C$12*$F36</f>
        <v>0.002333341261764027</v>
      </c>
      <c r="Q36" s="2">
        <f aca="true" t="shared" si="9" ref="Q36:Q41">+C36-15018.5</f>
        <v>39801.4195</v>
      </c>
    </row>
    <row r="37" spans="1:17" ht="12.75">
      <c r="A37" s="25" t="s">
        <v>43</v>
      </c>
      <c r="B37" s="34" t="s">
        <v>44</v>
      </c>
      <c r="C37" s="25">
        <v>55978.6749</v>
      </c>
      <c r="D37" s="25">
        <v>0.0005</v>
      </c>
      <c r="E37" s="35">
        <f t="shared" si="6"/>
        <v>7407.514703114027</v>
      </c>
      <c r="F37">
        <f t="shared" si="1"/>
        <v>7407.5</v>
      </c>
      <c r="G37">
        <f t="shared" si="7"/>
        <v>0.005154999998921994</v>
      </c>
      <c r="K37">
        <f>+G37</f>
        <v>0.005154999998921994</v>
      </c>
      <c r="O37">
        <f t="shared" si="8"/>
        <v>0.0033898130096919254</v>
      </c>
      <c r="Q37" s="2">
        <f t="shared" si="9"/>
        <v>40960.1749</v>
      </c>
    </row>
    <row r="38" spans="1:17" ht="12.75">
      <c r="A38" s="28" t="s">
        <v>49</v>
      </c>
      <c r="C38" s="8">
        <v>57734.8607</v>
      </c>
      <c r="D38" s="8">
        <v>0.0004</v>
      </c>
      <c r="E38">
        <f t="shared" si="6"/>
        <v>12416.515689976772</v>
      </c>
      <c r="F38">
        <f t="shared" si="1"/>
        <v>12416.5</v>
      </c>
      <c r="G38">
        <f t="shared" si="7"/>
        <v>0.005500999999640044</v>
      </c>
      <c r="L38">
        <f>+G38</f>
        <v>0.005500999999640044</v>
      </c>
      <c r="O38">
        <f t="shared" si="8"/>
        <v>0.004990983050651334</v>
      </c>
      <c r="Q38" s="2">
        <f t="shared" si="9"/>
        <v>42716.3607</v>
      </c>
    </row>
    <row r="39" spans="1:17" ht="12.75">
      <c r="A39" s="36" t="s">
        <v>49</v>
      </c>
      <c r="B39" s="37"/>
      <c r="C39" s="36">
        <v>57734.8607</v>
      </c>
      <c r="D39" s="36">
        <v>0.0004</v>
      </c>
      <c r="E39">
        <f t="shared" si="6"/>
        <v>12416.515689976772</v>
      </c>
      <c r="F39">
        <f t="shared" si="1"/>
        <v>12416.5</v>
      </c>
      <c r="G39">
        <f t="shared" si="7"/>
        <v>0.005500999999640044</v>
      </c>
      <c r="K39">
        <f>+G39</f>
        <v>0.005500999999640044</v>
      </c>
      <c r="O39">
        <f t="shared" si="8"/>
        <v>0.004990983050651334</v>
      </c>
      <c r="Q39" s="2">
        <f t="shared" si="9"/>
        <v>42716.3607</v>
      </c>
    </row>
    <row r="40" spans="1:17" ht="12.75">
      <c r="A40" s="38" t="s">
        <v>1</v>
      </c>
      <c r="B40" s="39" t="s">
        <v>3</v>
      </c>
      <c r="C40" s="40">
        <v>57384.4296</v>
      </c>
      <c r="D40" s="40" t="s">
        <v>2</v>
      </c>
      <c r="E40">
        <f t="shared" si="6"/>
        <v>11417.014540538386</v>
      </c>
      <c r="F40">
        <f t="shared" si="1"/>
        <v>11417</v>
      </c>
      <c r="G40">
        <f t="shared" si="7"/>
        <v>0.005098000001453329</v>
      </c>
      <c r="K40">
        <f>+G40</f>
        <v>0.005098000001453329</v>
      </c>
      <c r="O40">
        <f t="shared" si="8"/>
        <v>0.004671484257291596</v>
      </c>
      <c r="Q40" s="2">
        <f t="shared" si="9"/>
        <v>42365.9296</v>
      </c>
    </row>
    <row r="41" spans="1:17" ht="12.75">
      <c r="A41" s="38" t="s">
        <v>1</v>
      </c>
      <c r="B41" s="39" t="s">
        <v>3</v>
      </c>
      <c r="C41" s="40">
        <v>57384.6068</v>
      </c>
      <c r="D41" s="40" t="s">
        <v>6</v>
      </c>
      <c r="E41">
        <f t="shared" si="6"/>
        <v>11417.51995117026</v>
      </c>
      <c r="F41">
        <f t="shared" si="1"/>
        <v>11417.5</v>
      </c>
      <c r="G41">
        <f t="shared" si="7"/>
        <v>0.00699499999609543</v>
      </c>
      <c r="K41">
        <f>+G41</f>
        <v>0.00699499999609543</v>
      </c>
      <c r="O41">
        <f t="shared" si="8"/>
        <v>0.004671644086602931</v>
      </c>
      <c r="Q41" s="2">
        <f t="shared" si="9"/>
        <v>42366.1068</v>
      </c>
    </row>
    <row r="42" spans="1:17" ht="12.75">
      <c r="A42" s="41" t="s">
        <v>51</v>
      </c>
      <c r="B42" s="42" t="s">
        <v>44</v>
      </c>
      <c r="C42" s="43">
        <v>57803.9283</v>
      </c>
      <c r="D42" s="44" t="s">
        <v>52</v>
      </c>
      <c r="E42">
        <f>+(C42-C$7)/C$8</f>
        <v>12613.510607348413</v>
      </c>
      <c r="F42">
        <f>ROUND(2*E42,0)/2</f>
        <v>12613.5</v>
      </c>
      <c r="G42">
        <f>+C42-(C$7+F42*C$8)</f>
        <v>0.003719000000273809</v>
      </c>
      <c r="K42">
        <f>+G42</f>
        <v>0.003719000000273809</v>
      </c>
      <c r="O42">
        <f>+C$11+C$12*$F42</f>
        <v>0.0050539557993175355</v>
      </c>
      <c r="Q42" s="2">
        <f>+C42-15018.5</f>
        <v>42785.4283</v>
      </c>
    </row>
    <row r="43" spans="1:17" ht="12.75">
      <c r="A43" s="41" t="s">
        <v>51</v>
      </c>
      <c r="B43" s="42" t="s">
        <v>3</v>
      </c>
      <c r="C43" s="43">
        <v>57804.1035</v>
      </c>
      <c r="D43" s="44" t="s">
        <v>52</v>
      </c>
      <c r="E43">
        <f>+(C43-C$7)/C$8</f>
        <v>12614.010313571347</v>
      </c>
      <c r="F43">
        <f>ROUND(2*E43,0)/2</f>
        <v>12614</v>
      </c>
      <c r="G43">
        <f>+C43-(C$7+F43*C$8)</f>
        <v>0.0036159999945084564</v>
      </c>
      <c r="K43">
        <f>+G43</f>
        <v>0.0036159999945084564</v>
      </c>
      <c r="O43">
        <f>+C$11+C$12*$F43</f>
        <v>0.005054115628628871</v>
      </c>
      <c r="Q43" s="2">
        <f>+C43-15018.5</f>
        <v>42785.6035</v>
      </c>
    </row>
    <row r="44" spans="1:17" ht="12.75">
      <c r="A44" s="45" t="s">
        <v>54</v>
      </c>
      <c r="C44" s="8">
        <v>58532.6633</v>
      </c>
      <c r="D44" s="8">
        <v>0.0002</v>
      </c>
      <c r="E44">
        <f>+(C44-C$7)/C$8</f>
        <v>14692.011830944133</v>
      </c>
      <c r="F44">
        <f>ROUND(2*E44,0)/2</f>
        <v>14692</v>
      </c>
      <c r="G44">
        <f>+C44-(C$7+F44*C$8)</f>
        <v>0.004147999999986496</v>
      </c>
      <c r="L44">
        <f>+G44</f>
        <v>0.004147999999986496</v>
      </c>
      <c r="O44">
        <f>+C$11+C$12*$F44</f>
        <v>0.005718366246539363</v>
      </c>
      <c r="Q44" s="2">
        <f>+C44-15018.5</f>
        <v>43514.1633</v>
      </c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289" r:id="rId1" display="http://vsolj.cetus-net.org/bulletin.html"/>
    <hyperlink ref="H282" r:id="rId2" display="http://vsolj.cetus-net.org/bulletin.html"/>
  </hyperlinks>
  <printOptions/>
  <pageMargins left="0.75" right="0.75" top="1" bottom="1" header="0.5" footer="0.5"/>
  <pageSetup horizontalDpi="300" verticalDpi="3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