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9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<sst xmlns="http://schemas.openxmlformats.org/spreadsheetml/2006/main" count="141" uniqueCount="101">
  <si>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</si>
  <si>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</si>
  <si>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</si>
  <si>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</si>
  <si>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</si>
  <si>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</si>
  <si>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</si>
  <si>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</si>
  <si>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</si>
  <si>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</si>
  <si>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</si>
  <si>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</si>
  <si>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</si>
  <si>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</si>
  <si>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</si>
  <si>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</si>
  <si>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</si>
  <si>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</si>
  <si>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</si>
  <si>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</si>
  <si>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</si>
  <si>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</si>
  <si>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</si>
  <si>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</si>
  <si>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</si>
  <si>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</si>
  <si>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</si>
  <si>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</si>
  <si>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</si>
  <si>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</si>
  <si>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Bull.72</t>
  </si>
  <si>
    <t>B</t>
  </si>
  <si>
    <t>II</t>
  </si>
  <si>
    <t>BBSAG</t>
  </si>
  <si>
    <t># of data points:</t>
  </si>
  <si>
    <t>EA/DM</t>
  </si>
  <si>
    <t>V624 Her / GSC 01004-01321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</si>
  <si>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</si>
  <si>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</si>
  <si>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</si>
  <si>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</si>
  <si>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</si>
  <si>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</si>
  <si>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</si>
  <si>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Local time</t>
  </si>
  <si>
    <t>Start of linear fit &gt;&gt;&gt;&gt;&gt;&gt;&gt;&gt;&gt;&gt;&gt;&gt;&gt;&gt;&gt;&gt;&gt;&gt;&gt;&gt;&gt;</t>
  </si>
  <si>
    <t>IBVS 5898</t>
  </si>
  <si>
    <t>I</t>
  </si>
  <si>
    <t>IBVS 6007</t>
  </si>
  <si>
    <t>IBVS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</si>
  <si>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</si>
  <si>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</si>
  <si>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</si>
  <si>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</si>
  <si>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</si>
  <si>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</si>
  <si>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</si>
  <si>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</si>
  <si>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</si>
  <si>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</si>
  <si>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</si>
  <si>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2440321.0049 </t>
  </si>
  <si>
    <t> 09.04.1969 12:07 </t>
  </si>
  <si>
    <t> 0.0000 </t>
  </si>
  <si>
    <t>E </t>
  </si>
  <si>
    <t>?</t>
  </si>
  <si>
    <t> R.Zissell </t>
  </si>
  <si>
    <t> AJ 77.610 </t>
  </si>
  <si>
    <t>2445685.5099 </t>
  </si>
  <si>
    <t> 17.12.1983 00:14 </t>
  </si>
  <si>
    <t> 1.1217 </t>
  </si>
  <si>
    <t> R.Diethelm </t>
  </si>
  <si>
    <t> BBS 72 </t>
  </si>
  <si>
    <t>2454621.4195 </t>
  </si>
  <si>
    <t> 03.06.2008 22:04 </t>
  </si>
  <si>
    <t> 0.0065 </t>
  </si>
  <si>
    <t>C </t>
  </si>
  <si>
    <t>o</t>
  </si>
  <si>
    <t> S.Parimucha et al. </t>
  </si>
  <si>
    <t>IBVS 5898 </t>
  </si>
  <si>
    <t>2454697.3858 </t>
  </si>
  <si>
    <t> 18.08.2008 21:15 </t>
  </si>
  <si>
    <t> 0.0208 </t>
  </si>
  <si>
    <t>2454950.55606 </t>
  </si>
  <si>
    <t> 29.04.2009 01:20 </t>
  </si>
  <si>
    <t> 0.01755 </t>
  </si>
  <si>
    <t>R</t>
  </si>
  <si>
    <t> R.Uhlar </t>
  </si>
  <si>
    <t>IBVS 6007 </t>
  </si>
  <si>
    <t>2454954.45122 </t>
  </si>
  <si>
    <t> 02.05.2009 22:49 </t>
  </si>
  <si>
    <t> 0.01773 </t>
  </si>
  <si>
    <t>V;R</t>
  </si>
  <si>
    <t>2455069.35237 </t>
  </si>
  <si>
    <t> 25.08.2009 20:27 </t>
  </si>
  <si>
    <t> 0.01706 </t>
  </si>
  <si>
    <t>2455770.46916 </t>
  </si>
  <si>
    <t> 27.07.2011 23:15 </t>
  </si>
  <si>
    <t> 0.03799 </t>
  </si>
  <si>
    <t>R;I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</si>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</sst>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V624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05"/>
          <c:w val="0.909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5617456"/>
        <c:axId val="50557105"/>
      </c:scatterChart>
      <c:valAx>
        <c:axId val="5617456"/>
        <c:scaling>
          <c:orientation val="minMax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7105"/>
        <c:crosses val="autoZero"/>
        <c:crossBetween val="midCat"/>
        <c:dispUnits/>
      </c:valAx>
      <c:valAx>
        <c:axId val="50557105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4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25"/>
          <c:y val="0.92925"/>
          <c:w val="0.846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V624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475"/>
          <c:w val="0.9092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0.0046</c:v>
                  </c:pt>
                  <c:pt idx="6">
                    <c:v>0.00449</c:v>
                  </c:pt>
                  <c:pt idx="7">
                    <c:v>0.00181</c:v>
                  </c:pt>
                  <c:pt idx="8">
                    <c:v>0.01087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52360762"/>
        <c:axId val="1484811"/>
      </c:scatterChart>
      <c:valAx>
        <c:axId val="5236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811"/>
        <c:crosses val="autoZero"/>
        <c:crossBetween val="midCat"/>
        <c:dispUnits/>
      </c:valAx>
      <c:valAx>
        <c:axId val="1484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076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295"/>
          <c:w val="0.845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19050</xdr:rowOff>
    </xdr:from>
    <xdr:to>
      <xdr:col>15</xdr:col>
      <xdr:colOff>504825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838575" y="19050"/>
        <a:ext cx="6105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27</xdr:col>
      <xdr:colOff>628650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1982450" y="0"/>
        <a:ext cx="61150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898" TargetMode="External" /><Relationship Id="rId2" Type="http://schemas.openxmlformats.org/officeDocument/2006/relationships/hyperlink" Target="http://www.konkoly.hu/cgi-bin/IBVS?5898" TargetMode="External" /><Relationship Id="rId3" Type="http://schemas.openxmlformats.org/officeDocument/2006/relationships/hyperlink" Target="http://www.konkoly.hu/cgi-bin/IBVS?6007" TargetMode="External" /><Relationship Id="rId4" Type="http://schemas.openxmlformats.org/officeDocument/2006/relationships/hyperlink" Target="http://www.konkoly.hu/cgi-bin/IBVS?6007" TargetMode="External" /><Relationship Id="rId5" Type="http://schemas.openxmlformats.org/officeDocument/2006/relationships/hyperlink" Target="http://www.konkoly.hu/cgi-bin/IBVS?6007" TargetMode="External" /><Relationship Id="rId6" Type="http://schemas.openxmlformats.org/officeDocument/2006/relationships/hyperlink" Target="http://www.konkoly.hu/cgi-bin/IBVS?60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5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2" ht="12.75">
      <c r="A2" t="s">
        <v>25</v>
      </c>
      <c r="B2" s="12" t="s">
        <v>35</v>
      </c>
    </row>
    <row r="4" spans="1:4" ht="12.75">
      <c r="A4" s="7" t="s">
        <v>0</v>
      </c>
      <c r="C4" s="3">
        <v>40321.0049</v>
      </c>
      <c r="D4" s="4">
        <v>3.894977</v>
      </c>
    </row>
    <row r="6" ht="12.75">
      <c r="A6" s="7" t="s">
        <v>1</v>
      </c>
    </row>
    <row r="7" spans="1:3" ht="12.75">
      <c r="A7" t="s">
        <v>2</v>
      </c>
      <c r="C7">
        <f>+C4</f>
        <v>40321.0049</v>
      </c>
    </row>
    <row r="8" spans="1:3" ht="12.75">
      <c r="A8" t="s">
        <v>3</v>
      </c>
      <c r="C8">
        <f>+D4</f>
        <v>3.894977</v>
      </c>
    </row>
    <row r="9" spans="1:5" ht="12.75">
      <c r="A9" s="13" t="s">
        <v>37</v>
      </c>
      <c r="B9" s="14"/>
      <c r="C9" s="15">
        <v>-9.5</v>
      </c>
      <c r="D9" s="14" t="s">
        <v>38</v>
      </c>
      <c r="E9" s="14"/>
    </row>
    <row r="10" spans="1:5" ht="13.5" thickBot="1">
      <c r="A10" s="14"/>
      <c r="B10" s="14"/>
      <c r="C10" s="6" t="s">
        <v>21</v>
      </c>
      <c r="D10" s="6" t="s">
        <v>22</v>
      </c>
      <c r="E10" s="14"/>
    </row>
    <row r="11" spans="1:7" ht="12.75">
      <c r="A11" s="14" t="s">
        <v>16</v>
      </c>
      <c r="B11" s="14"/>
      <c r="C11" s="16">
        <f ca="1">INTERCEPT(INDIRECT($G$11):G992,INDIRECT($F$11):F992)</f>
        <v>-0.3095650440093759</v>
      </c>
      <c r="D11" s="5"/>
      <c r="E11" s="14"/>
      <c r="F11" s="17" t="str">
        <f>"F"&amp;E19</f>
        <v>F24</v>
      </c>
      <c r="G11" s="18" t="str">
        <f>"G"&amp;E19</f>
        <v>G24</v>
      </c>
    </row>
    <row r="12" spans="1:5" ht="12.75">
      <c r="A12" s="14" t="s">
        <v>17</v>
      </c>
      <c r="B12" s="14"/>
      <c r="C12" s="16">
        <f ca="1">SLOPE(INDIRECT($G$11):G992,INDIRECT($F$11):F992)</f>
        <v>8.728178023577702E-05</v>
      </c>
      <c r="D12" s="5"/>
      <c r="E12" s="14"/>
    </row>
    <row r="13" spans="1:5" ht="12.75">
      <c r="A13" s="14" t="s">
        <v>20</v>
      </c>
      <c r="B13" s="14"/>
      <c r="C13" s="5" t="s">
        <v>14</v>
      </c>
      <c r="D13" s="19" t="s">
        <v>39</v>
      </c>
      <c r="E13" s="15">
        <v>1</v>
      </c>
    </row>
    <row r="14" spans="1:5" ht="12.75">
      <c r="A14" s="14"/>
      <c r="B14" s="14"/>
      <c r="C14" s="14"/>
      <c r="D14" s="19" t="s">
        <v>40</v>
      </c>
      <c r="E14" s="20">
        <f ca="1">NOW()+15018.5+$C$9/24</f>
        <v>59900.82010798611</v>
      </c>
    </row>
    <row r="15" spans="1:5" ht="12.75">
      <c r="A15" s="21" t="s">
        <v>18</v>
      </c>
      <c r="B15" s="14"/>
      <c r="C15" s="22">
        <f>(C7+C11)+(C8+C12)*INT(MAX(F21:F3533))</f>
        <v>55768.520276496405</v>
      </c>
      <c r="D15" s="19" t="s">
        <v>41</v>
      </c>
      <c r="E15" s="20">
        <f>ROUND(2*(E14-$C$7)/$C$8,0)/2+E13</f>
        <v>5028</v>
      </c>
    </row>
    <row r="16" spans="1:5" ht="12.75">
      <c r="A16" s="23" t="s">
        <v>4</v>
      </c>
      <c r="B16" s="14"/>
      <c r="C16" s="24">
        <f>+C8+C12</f>
        <v>3.8950642817802357</v>
      </c>
      <c r="D16" s="19" t="s">
        <v>42</v>
      </c>
      <c r="E16" s="18">
        <f>ROUND(2*(E14-$C$15)/$C$16,0)/2+E13</f>
        <v>1062</v>
      </c>
    </row>
    <row r="17" spans="1:5" ht="13.5" thickBot="1">
      <c r="A17" s="19" t="s">
        <v>34</v>
      </c>
      <c r="B17" s="14"/>
      <c r="C17" s="14">
        <f>COUNT(C21:C2191)</f>
        <v>9</v>
      </c>
      <c r="D17" s="19" t="s">
        <v>43</v>
      </c>
      <c r="E17" s="25">
        <f>+$C$15+$C$16*E16-15018.5-$C$9/24</f>
        <v>44886.974377080354</v>
      </c>
    </row>
    <row r="18" spans="1:5" ht="12.75">
      <c r="A18" s="23" t="s">
        <v>5</v>
      </c>
      <c r="B18" s="14"/>
      <c r="C18" s="26">
        <f>+C15</f>
        <v>55768.520276496405</v>
      </c>
      <c r="D18" s="27">
        <f>+C16</f>
        <v>3.8950642817802357</v>
      </c>
      <c r="E18" s="28" t="s">
        <v>44</v>
      </c>
    </row>
    <row r="19" spans="1:5" ht="13.5" thickTop="1">
      <c r="A19" s="29" t="s">
        <v>45</v>
      </c>
      <c r="E19" s="30">
        <v>24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33</v>
      </c>
      <c r="J20" s="9" t="s">
        <v>49</v>
      </c>
      <c r="K20" s="9" t="s">
        <v>19</v>
      </c>
      <c r="L20" s="9" t="s">
        <v>26</v>
      </c>
      <c r="M20" s="9" t="s">
        <v>27</v>
      </c>
      <c r="N20" s="9" t="s">
        <v>28</v>
      </c>
      <c r="O20" s="9" t="s">
        <v>24</v>
      </c>
      <c r="P20" s="8" t="s">
        <v>23</v>
      </c>
      <c r="Q20" s="6" t="s">
        <v>15</v>
      </c>
      <c r="U20" s="49" t="s">
        <v>100</v>
      </c>
    </row>
    <row r="21" spans="1:17" ht="12.75">
      <c r="A21" t="s">
        <v>12</v>
      </c>
      <c r="C21" s="10">
        <v>40321.0049</v>
      </c>
      <c r="D21" s="10" t="s">
        <v>14</v>
      </c>
      <c r="E21">
        <f aca="true" t="shared" si="0" ref="E21:E29">+(C21-C$7)/C$8</f>
        <v>0</v>
      </c>
      <c r="F21">
        <f aca="true" t="shared" si="1" ref="F21:F29">ROUND(2*E21,0)/2</f>
        <v>0</v>
      </c>
      <c r="G21">
        <f>+C21-(C$7+F21*C$8)</f>
        <v>0</v>
      </c>
      <c r="H21">
        <f>+G21</f>
        <v>0</v>
      </c>
      <c r="O21">
        <f aca="true" t="shared" si="2" ref="O21:O29">+C$11+C$12*F21</f>
        <v>-0.3095650440093759</v>
      </c>
      <c r="Q21" s="2">
        <f aca="true" t="shared" si="3" ref="Q21:Q29">+C21-15018.5</f>
        <v>25302.5049</v>
      </c>
    </row>
    <row r="22" spans="1:21" ht="12.75">
      <c r="A22" s="46" t="s">
        <v>72</v>
      </c>
      <c r="B22" s="48" t="s">
        <v>47</v>
      </c>
      <c r="C22" s="47">
        <v>45685.5099</v>
      </c>
      <c r="D22" s="47" t="s">
        <v>60</v>
      </c>
      <c r="E22">
        <f t="shared" si="0"/>
        <v>1377.287978850709</v>
      </c>
      <c r="F22">
        <f t="shared" si="1"/>
        <v>1377.5</v>
      </c>
      <c r="O22">
        <f t="shared" si="2"/>
        <v>-0.18933439173459304</v>
      </c>
      <c r="Q22" s="2">
        <f t="shared" si="3"/>
        <v>30667.009899999997</v>
      </c>
      <c r="U22">
        <f>+C22-(C$7+F22*C$8)</f>
        <v>-0.8258175000009942</v>
      </c>
    </row>
    <row r="23" spans="1:30" ht="12.75">
      <c r="A23" t="s">
        <v>30</v>
      </c>
      <c r="B23" s="5" t="s">
        <v>32</v>
      </c>
      <c r="C23" s="11">
        <v>45865.5099</v>
      </c>
      <c r="D23" s="10"/>
      <c r="E23">
        <f t="shared" si="0"/>
        <v>1423.5013454508198</v>
      </c>
      <c r="F23">
        <f t="shared" si="1"/>
        <v>1423.5</v>
      </c>
      <c r="G23">
        <f aca="true" t="shared" si="4" ref="G23:G29">+C23-(C$7+F23*C$8)</f>
        <v>0.005240499995124992</v>
      </c>
      <c r="I23">
        <f>+G23</f>
        <v>0.005240499995124992</v>
      </c>
      <c r="O23">
        <f t="shared" si="2"/>
        <v>-0.18531942984374733</v>
      </c>
      <c r="Q23" s="2">
        <f t="shared" si="3"/>
        <v>30847.009899999997</v>
      </c>
      <c r="AA23">
        <v>16</v>
      </c>
      <c r="AB23" t="s">
        <v>29</v>
      </c>
      <c r="AD23" t="s">
        <v>31</v>
      </c>
    </row>
    <row r="24" spans="1:17" ht="12.75">
      <c r="A24" s="31" t="s">
        <v>46</v>
      </c>
      <c r="B24" s="32" t="s">
        <v>32</v>
      </c>
      <c r="C24" s="31">
        <v>54621.4195</v>
      </c>
      <c r="D24" s="31">
        <v>0.0005</v>
      </c>
      <c r="E24">
        <f t="shared" si="0"/>
        <v>3671.501680240988</v>
      </c>
      <c r="F24">
        <f t="shared" si="1"/>
        <v>3671.5</v>
      </c>
      <c r="G24">
        <f t="shared" si="4"/>
        <v>0.006544500007294118</v>
      </c>
      <c r="J24">
        <f aca="true" t="shared" si="5" ref="J24:J29">+G24</f>
        <v>0.006544500007294118</v>
      </c>
      <c r="O24">
        <f t="shared" si="2"/>
        <v>0.010890012126279436</v>
      </c>
      <c r="Q24" s="2">
        <f t="shared" si="3"/>
        <v>39602.9195</v>
      </c>
    </row>
    <row r="25" spans="1:17" ht="12.75">
      <c r="A25" s="31" t="s">
        <v>46</v>
      </c>
      <c r="B25" s="32" t="s">
        <v>47</v>
      </c>
      <c r="C25" s="31">
        <v>54697.3858</v>
      </c>
      <c r="D25" s="31">
        <v>0.0002</v>
      </c>
      <c r="E25">
        <f t="shared" si="0"/>
        <v>3691.005338414064</v>
      </c>
      <c r="F25">
        <f t="shared" si="1"/>
        <v>3691</v>
      </c>
      <c r="G25">
        <f t="shared" si="4"/>
        <v>0.020792999996047</v>
      </c>
      <c r="J25">
        <f t="shared" si="5"/>
        <v>0.020792999996047</v>
      </c>
      <c r="O25">
        <f t="shared" si="2"/>
        <v>0.012592006840877079</v>
      </c>
      <c r="Q25" s="2">
        <f t="shared" si="3"/>
        <v>39678.8858</v>
      </c>
    </row>
    <row r="26" spans="1:17" ht="12.75">
      <c r="A26" s="31" t="s">
        <v>48</v>
      </c>
      <c r="B26" s="32" t="s">
        <v>32</v>
      </c>
      <c r="C26" s="31">
        <v>54950.55606</v>
      </c>
      <c r="D26" s="31">
        <v>0.0046</v>
      </c>
      <c r="E26">
        <f t="shared" si="0"/>
        <v>3756.0045052897626</v>
      </c>
      <c r="F26">
        <f t="shared" si="1"/>
        <v>3756</v>
      </c>
      <c r="G26">
        <f t="shared" si="4"/>
        <v>0.01754800000344403</v>
      </c>
      <c r="J26">
        <f t="shared" si="5"/>
        <v>0.01754800000344403</v>
      </c>
      <c r="O26">
        <f t="shared" si="2"/>
        <v>0.018265322556202612</v>
      </c>
      <c r="Q26" s="2">
        <f t="shared" si="3"/>
        <v>39932.05606</v>
      </c>
    </row>
    <row r="27" spans="1:17" ht="12.75">
      <c r="A27" s="31" t="s">
        <v>48</v>
      </c>
      <c r="B27" s="32" t="s">
        <v>32</v>
      </c>
      <c r="C27" s="31">
        <v>54954.45122</v>
      </c>
      <c r="D27" s="31">
        <v>0.00449</v>
      </c>
      <c r="E27">
        <f t="shared" si="0"/>
        <v>3757.0045522733517</v>
      </c>
      <c r="F27">
        <f t="shared" si="1"/>
        <v>3757</v>
      </c>
      <c r="G27">
        <f t="shared" si="4"/>
        <v>0.017730999999912456</v>
      </c>
      <c r="J27">
        <f t="shared" si="5"/>
        <v>0.017730999999912456</v>
      </c>
      <c r="O27">
        <f t="shared" si="2"/>
        <v>0.018352604336438372</v>
      </c>
      <c r="Q27" s="2">
        <f t="shared" si="3"/>
        <v>39935.95122</v>
      </c>
    </row>
    <row r="28" spans="1:17" ht="12.75">
      <c r="A28" s="31" t="s">
        <v>48</v>
      </c>
      <c r="B28" s="32" t="s">
        <v>47</v>
      </c>
      <c r="C28" s="31">
        <v>55069.35237</v>
      </c>
      <c r="D28" s="31">
        <v>0.00181</v>
      </c>
      <c r="E28">
        <f t="shared" si="0"/>
        <v>3786.5043798718198</v>
      </c>
      <c r="F28">
        <f t="shared" si="1"/>
        <v>3786.5</v>
      </c>
      <c r="G28">
        <f t="shared" si="4"/>
        <v>0.01705950000177836</v>
      </c>
      <c r="J28">
        <f t="shared" si="5"/>
        <v>0.01705950000177836</v>
      </c>
      <c r="O28">
        <f t="shared" si="2"/>
        <v>0.020927416853393777</v>
      </c>
      <c r="Q28" s="2">
        <f t="shared" si="3"/>
        <v>40050.85237</v>
      </c>
    </row>
    <row r="29" spans="1:17" ht="12.75">
      <c r="A29" s="31" t="s">
        <v>48</v>
      </c>
      <c r="B29" s="32" t="s">
        <v>47</v>
      </c>
      <c r="C29" s="31">
        <v>55770.46916</v>
      </c>
      <c r="D29" s="31">
        <v>0.01087</v>
      </c>
      <c r="E29">
        <f t="shared" si="0"/>
        <v>3966.5097534593915</v>
      </c>
      <c r="F29">
        <f t="shared" si="1"/>
        <v>3966.5</v>
      </c>
      <c r="G29">
        <f t="shared" si="4"/>
        <v>0.037989500000549015</v>
      </c>
      <c r="J29">
        <f t="shared" si="5"/>
        <v>0.037989500000549015</v>
      </c>
      <c r="O29">
        <f t="shared" si="2"/>
        <v>0.03663813729583365</v>
      </c>
      <c r="Q29" s="2">
        <f t="shared" si="3"/>
        <v>40751.96916</v>
      </c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5"/>
  <sheetViews>
    <sheetView zoomScalePageLayoutView="0" workbookViewId="0" topLeftCell="A1">
      <selection activeCell="A18" sqref="A18:D18"/>
    </sheetView>
  </sheetViews>
  <sheetFormatPr defaultColWidth="9.140625" defaultRowHeight="12.75"/>
  <cols>
    <col min="1" max="1" width="19.7109375" style="10" customWidth="1"/>
    <col min="2" max="2" width="4.421875" style="14" customWidth="1"/>
    <col min="3" max="3" width="12.7109375" style="10" customWidth="1"/>
    <col min="4" max="4" width="5.421875" style="14" customWidth="1"/>
    <col min="5" max="5" width="14.8515625" style="14" customWidth="1"/>
    <col min="6" max="6" width="9.140625" style="14" customWidth="1"/>
    <col min="7" max="7" width="12.00390625" style="14" customWidth="1"/>
    <col min="8" max="8" width="14.140625" style="10" customWidth="1"/>
    <col min="9" max="9" width="22.5742187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421875" style="14" customWidth="1"/>
    <col min="14" max="14" width="14.140625" style="14" customWidth="1"/>
    <col min="15" max="15" width="23.421875" style="14" customWidth="1"/>
    <col min="16" max="16" width="16.57421875" style="14" customWidth="1"/>
    <col min="17" max="17" width="41.00390625" style="14" customWidth="1"/>
    <col min="18" max="16384" width="9.140625" style="14" customWidth="1"/>
  </cols>
  <sheetData>
    <row r="1" spans="1:10" ht="15.75">
      <c r="A1" s="33" t="s">
        <v>50</v>
      </c>
      <c r="I1" s="34" t="s">
        <v>51</v>
      </c>
      <c r="J1" s="35" t="s">
        <v>52</v>
      </c>
    </row>
    <row r="2" spans="9:10" ht="12.75">
      <c r="I2" s="36" t="s">
        <v>53</v>
      </c>
      <c r="J2" s="37" t="s">
        <v>54</v>
      </c>
    </row>
    <row r="3" spans="1:10" ht="12.75">
      <c r="A3" s="38" t="s">
        <v>55</v>
      </c>
      <c r="I3" s="36" t="s">
        <v>56</v>
      </c>
      <c r="J3" s="37" t="s">
        <v>57</v>
      </c>
    </row>
    <row r="4" spans="9:10" ht="12.75">
      <c r="I4" s="36" t="s">
        <v>58</v>
      </c>
      <c r="J4" s="37" t="s">
        <v>57</v>
      </c>
    </row>
    <row r="5" spans="9:10" ht="13.5" thickBot="1">
      <c r="I5" s="39" t="s">
        <v>59</v>
      </c>
      <c r="J5" s="40" t="s">
        <v>60</v>
      </c>
    </row>
    <row r="10" ht="13.5" thickBot="1"/>
    <row r="11" spans="1:16" ht="12.75" customHeight="1" thickBot="1">
      <c r="A11" s="10" t="str">
        <f aca="true" t="shared" si="0" ref="A11:A18">P11</f>
        <v> AJ 77.610 </v>
      </c>
      <c r="B11" s="5" t="str">
        <f aca="true" t="shared" si="1" ref="B11:B18">IF(H11=INT(H11),"I","II")</f>
        <v>I</v>
      </c>
      <c r="C11" s="10">
        <f aca="true" t="shared" si="2" ref="C11:C18">1*G11</f>
        <v>40321.0049</v>
      </c>
      <c r="D11" s="14" t="str">
        <f aca="true" t="shared" si="3" ref="D11:D18">VLOOKUP(F11,I$1:J$5,2,FALSE)</f>
        <v>vis</v>
      </c>
      <c r="E11" s="41">
        <f>VLOOKUP(C11,A!C$21:E$973,3,FALSE)</f>
        <v>0</v>
      </c>
      <c r="F11" s="5" t="s">
        <v>59</v>
      </c>
      <c r="G11" s="14" t="str">
        <f aca="true" t="shared" si="4" ref="G11:G18">MID(I11,3,LEN(I11)-3)</f>
        <v>40321.0049</v>
      </c>
      <c r="H11" s="10">
        <f aca="true" t="shared" si="5" ref="H11:H18">1*K11</f>
        <v>0</v>
      </c>
      <c r="I11" s="42" t="s">
        <v>61</v>
      </c>
      <c r="J11" s="43" t="s">
        <v>62</v>
      </c>
      <c r="K11" s="42">
        <v>0</v>
      </c>
      <c r="L11" s="42" t="s">
        <v>63</v>
      </c>
      <c r="M11" s="43" t="s">
        <v>64</v>
      </c>
      <c r="N11" s="43" t="s">
        <v>65</v>
      </c>
      <c r="O11" s="44" t="s">
        <v>66</v>
      </c>
      <c r="P11" s="44" t="s">
        <v>67</v>
      </c>
    </row>
    <row r="12" spans="1:16" ht="12.75" customHeight="1" thickBot="1">
      <c r="A12" s="10" t="str">
        <f t="shared" si="0"/>
        <v>IBVS 5898 </v>
      </c>
      <c r="B12" s="5" t="str">
        <f t="shared" si="1"/>
        <v>II</v>
      </c>
      <c r="C12" s="10">
        <f t="shared" si="2"/>
        <v>54621.4195</v>
      </c>
      <c r="D12" s="14" t="str">
        <f t="shared" si="3"/>
        <v>vis</v>
      </c>
      <c r="E12" s="41">
        <f>VLOOKUP(C12,A!C$21:E$973,3,FALSE)</f>
        <v>3671.501680240988</v>
      </c>
      <c r="F12" s="5" t="s">
        <v>59</v>
      </c>
      <c r="G12" s="14" t="str">
        <f t="shared" si="4"/>
        <v>54621.4195</v>
      </c>
      <c r="H12" s="10">
        <f t="shared" si="5"/>
        <v>3671.5</v>
      </c>
      <c r="I12" s="42" t="s">
        <v>73</v>
      </c>
      <c r="J12" s="43" t="s">
        <v>74</v>
      </c>
      <c r="K12" s="42">
        <v>3671.5</v>
      </c>
      <c r="L12" s="42" t="s">
        <v>75</v>
      </c>
      <c r="M12" s="43" t="s">
        <v>76</v>
      </c>
      <c r="N12" s="43" t="s">
        <v>77</v>
      </c>
      <c r="O12" s="44" t="s">
        <v>78</v>
      </c>
      <c r="P12" s="45" t="s">
        <v>79</v>
      </c>
    </row>
    <row r="13" spans="1:16" ht="12.75" customHeight="1" thickBot="1">
      <c r="A13" s="10" t="str">
        <f t="shared" si="0"/>
        <v>IBVS 5898 </v>
      </c>
      <c r="B13" s="5" t="str">
        <f t="shared" si="1"/>
        <v>I</v>
      </c>
      <c r="C13" s="10">
        <f t="shared" si="2"/>
        <v>54697.3858</v>
      </c>
      <c r="D13" s="14" t="str">
        <f t="shared" si="3"/>
        <v>vis</v>
      </c>
      <c r="E13" s="41">
        <f>VLOOKUP(C13,A!C$21:E$973,3,FALSE)</f>
        <v>3691.005338414064</v>
      </c>
      <c r="F13" s="5" t="s">
        <v>59</v>
      </c>
      <c r="G13" s="14" t="str">
        <f t="shared" si="4"/>
        <v>54697.3858</v>
      </c>
      <c r="H13" s="10">
        <f t="shared" si="5"/>
        <v>3691</v>
      </c>
      <c r="I13" s="42" t="s">
        <v>80</v>
      </c>
      <c r="J13" s="43" t="s">
        <v>81</v>
      </c>
      <c r="K13" s="42">
        <v>3691</v>
      </c>
      <c r="L13" s="42" t="s">
        <v>82</v>
      </c>
      <c r="M13" s="43" t="s">
        <v>76</v>
      </c>
      <c r="N13" s="43" t="s">
        <v>59</v>
      </c>
      <c r="O13" s="44" t="s">
        <v>78</v>
      </c>
      <c r="P13" s="45" t="s">
        <v>79</v>
      </c>
    </row>
    <row r="14" spans="1:16" ht="12.75" customHeight="1" thickBot="1">
      <c r="A14" s="10" t="str">
        <f t="shared" si="0"/>
        <v>IBVS 6007 </v>
      </c>
      <c r="B14" s="5" t="str">
        <f t="shared" si="1"/>
        <v>I</v>
      </c>
      <c r="C14" s="10">
        <f t="shared" si="2"/>
        <v>54950.55606</v>
      </c>
      <c r="D14" s="14" t="str">
        <f t="shared" si="3"/>
        <v>vis</v>
      </c>
      <c r="E14" s="41">
        <f>VLOOKUP(C14,A!C$21:E$973,3,FALSE)</f>
        <v>3756.0045052897626</v>
      </c>
      <c r="F14" s="5" t="s">
        <v>59</v>
      </c>
      <c r="G14" s="14" t="str">
        <f t="shared" si="4"/>
        <v>54950.55606</v>
      </c>
      <c r="H14" s="10">
        <f t="shared" si="5"/>
        <v>3756</v>
      </c>
      <c r="I14" s="42" t="s">
        <v>83</v>
      </c>
      <c r="J14" s="43" t="s">
        <v>84</v>
      </c>
      <c r="K14" s="42">
        <v>3756</v>
      </c>
      <c r="L14" s="42" t="s">
        <v>85</v>
      </c>
      <c r="M14" s="43" t="s">
        <v>76</v>
      </c>
      <c r="N14" s="43" t="s">
        <v>86</v>
      </c>
      <c r="O14" s="44" t="s">
        <v>87</v>
      </c>
      <c r="P14" s="45" t="s">
        <v>88</v>
      </c>
    </row>
    <row r="15" spans="1:16" ht="12.75" customHeight="1" thickBot="1">
      <c r="A15" s="10" t="str">
        <f t="shared" si="0"/>
        <v>IBVS 6007 </v>
      </c>
      <c r="B15" s="5" t="str">
        <f t="shared" si="1"/>
        <v>I</v>
      </c>
      <c r="C15" s="10">
        <f t="shared" si="2"/>
        <v>54954.45122</v>
      </c>
      <c r="D15" s="14" t="str">
        <f t="shared" si="3"/>
        <v>vis</v>
      </c>
      <c r="E15" s="41">
        <f>VLOOKUP(C15,A!C$21:E$973,3,FALSE)</f>
        <v>3757.0045522733517</v>
      </c>
      <c r="F15" s="5" t="s">
        <v>59</v>
      </c>
      <c r="G15" s="14" t="str">
        <f t="shared" si="4"/>
        <v>54954.45122</v>
      </c>
      <c r="H15" s="10">
        <f t="shared" si="5"/>
        <v>3757</v>
      </c>
      <c r="I15" s="42" t="s">
        <v>89</v>
      </c>
      <c r="J15" s="43" t="s">
        <v>90</v>
      </c>
      <c r="K15" s="42">
        <v>3757</v>
      </c>
      <c r="L15" s="42" t="s">
        <v>91</v>
      </c>
      <c r="M15" s="43" t="s">
        <v>76</v>
      </c>
      <c r="N15" s="43" t="s">
        <v>92</v>
      </c>
      <c r="O15" s="44" t="s">
        <v>87</v>
      </c>
      <c r="P15" s="45" t="s">
        <v>88</v>
      </c>
    </row>
    <row r="16" spans="1:16" ht="12.75" customHeight="1" thickBot="1">
      <c r="A16" s="10" t="str">
        <f t="shared" si="0"/>
        <v>IBVS 6007 </v>
      </c>
      <c r="B16" s="5" t="str">
        <f t="shared" si="1"/>
        <v>II</v>
      </c>
      <c r="C16" s="10">
        <f t="shared" si="2"/>
        <v>55069.35237</v>
      </c>
      <c r="D16" s="14" t="str">
        <f t="shared" si="3"/>
        <v>vis</v>
      </c>
      <c r="E16" s="41">
        <f>VLOOKUP(C16,A!C$21:E$973,3,FALSE)</f>
        <v>3786.5043798718198</v>
      </c>
      <c r="F16" s="5" t="s">
        <v>59</v>
      </c>
      <c r="G16" s="14" t="str">
        <f t="shared" si="4"/>
        <v>55069.35237</v>
      </c>
      <c r="H16" s="10">
        <f t="shared" si="5"/>
        <v>3786.5</v>
      </c>
      <c r="I16" s="42" t="s">
        <v>93</v>
      </c>
      <c r="J16" s="43" t="s">
        <v>94</v>
      </c>
      <c r="K16" s="42">
        <v>3786.5</v>
      </c>
      <c r="L16" s="42" t="s">
        <v>95</v>
      </c>
      <c r="M16" s="43" t="s">
        <v>76</v>
      </c>
      <c r="N16" s="43" t="s">
        <v>47</v>
      </c>
      <c r="O16" s="44" t="s">
        <v>87</v>
      </c>
      <c r="P16" s="45" t="s">
        <v>88</v>
      </c>
    </row>
    <row r="17" spans="1:16" ht="12.75" customHeight="1" thickBot="1">
      <c r="A17" s="10" t="str">
        <f t="shared" si="0"/>
        <v>IBVS 6007 </v>
      </c>
      <c r="B17" s="5" t="str">
        <f t="shared" si="1"/>
        <v>II</v>
      </c>
      <c r="C17" s="10">
        <f t="shared" si="2"/>
        <v>55770.46916</v>
      </c>
      <c r="D17" s="14" t="str">
        <f t="shared" si="3"/>
        <v>vis</v>
      </c>
      <c r="E17" s="41">
        <f>VLOOKUP(C17,A!C$21:E$973,3,FALSE)</f>
        <v>3966.5097534593915</v>
      </c>
      <c r="F17" s="5" t="s">
        <v>59</v>
      </c>
      <c r="G17" s="14" t="str">
        <f t="shared" si="4"/>
        <v>55770.46916</v>
      </c>
      <c r="H17" s="10">
        <f t="shared" si="5"/>
        <v>3966.5</v>
      </c>
      <c r="I17" s="42" t="s">
        <v>96</v>
      </c>
      <c r="J17" s="43" t="s">
        <v>97</v>
      </c>
      <c r="K17" s="42">
        <v>3966.5</v>
      </c>
      <c r="L17" s="42" t="s">
        <v>98</v>
      </c>
      <c r="M17" s="43" t="s">
        <v>76</v>
      </c>
      <c r="N17" s="43" t="s">
        <v>99</v>
      </c>
      <c r="O17" s="44" t="s">
        <v>87</v>
      </c>
      <c r="P17" s="45" t="s">
        <v>88</v>
      </c>
    </row>
    <row r="18" spans="1:16" ht="12.75" customHeight="1" thickBot="1">
      <c r="A18" s="10" t="str">
        <f t="shared" si="0"/>
        <v> BBS 72 </v>
      </c>
      <c r="B18" s="5" t="str">
        <f t="shared" si="1"/>
        <v>I</v>
      </c>
      <c r="C18" s="10">
        <f t="shared" si="2"/>
        <v>45685.5099</v>
      </c>
      <c r="D18" s="14" t="str">
        <f t="shared" si="3"/>
        <v>vis</v>
      </c>
      <c r="E18" s="41">
        <f>VLOOKUP(C18,A!C$21:E$973,3,FALSE)</f>
        <v>1377.287978850709</v>
      </c>
      <c r="F18" s="5" t="s">
        <v>59</v>
      </c>
      <c r="G18" s="14" t="str">
        <f t="shared" si="4"/>
        <v>45685.5099</v>
      </c>
      <c r="H18" s="10">
        <f t="shared" si="5"/>
        <v>1377</v>
      </c>
      <c r="I18" s="42" t="s">
        <v>68</v>
      </c>
      <c r="J18" s="43" t="s">
        <v>69</v>
      </c>
      <c r="K18" s="42">
        <v>1377</v>
      </c>
      <c r="L18" s="42" t="s">
        <v>70</v>
      </c>
      <c r="M18" s="43" t="s">
        <v>64</v>
      </c>
      <c r="N18" s="43" t="s">
        <v>65</v>
      </c>
      <c r="O18" s="44" t="s">
        <v>71</v>
      </c>
      <c r="P18" s="44" t="s">
        <v>72</v>
      </c>
    </row>
    <row r="19" spans="2:6" ht="12.75">
      <c r="B19" s="5"/>
      <c r="E19" s="41"/>
      <c r="F19" s="5"/>
    </row>
    <row r="20" spans="2:6" ht="12.75">
      <c r="B20" s="5"/>
      <c r="E20" s="41"/>
      <c r="F20" s="5"/>
    </row>
    <row r="21" spans="2:6" ht="12.75">
      <c r="B21" s="5"/>
      <c r="E21" s="41"/>
      <c r="F21" s="5"/>
    </row>
    <row r="22" spans="2:6" ht="12.75">
      <c r="B22" s="5"/>
      <c r="E22" s="41"/>
      <c r="F22" s="5"/>
    </row>
    <row r="23" spans="2:6" ht="12.75">
      <c r="B23" s="5"/>
      <c r="E23" s="41"/>
      <c r="F23" s="5"/>
    </row>
    <row r="24" spans="2:6" ht="12.75">
      <c r="B24" s="5"/>
      <c r="E24" s="41"/>
      <c r="F24" s="5"/>
    </row>
    <row r="25" spans="2:6" ht="12.75">
      <c r="B25" s="5"/>
      <c r="E25" s="41"/>
      <c r="F25" s="5"/>
    </row>
    <row r="26" spans="2:6" ht="12.75">
      <c r="B26" s="5"/>
      <c r="E26" s="41"/>
      <c r="F26" s="5"/>
    </row>
    <row r="27" spans="2:6" ht="12.75">
      <c r="B27" s="5"/>
      <c r="E27" s="41"/>
      <c r="F27" s="5"/>
    </row>
    <row r="28" spans="2:6" ht="12.75">
      <c r="B28" s="5"/>
      <c r="E28" s="41"/>
      <c r="F28" s="5"/>
    </row>
    <row r="29" spans="2:6" ht="12.75">
      <c r="B29" s="5"/>
      <c r="E29" s="41"/>
      <c r="F29" s="5"/>
    </row>
    <row r="30" spans="2:6" ht="12.75">
      <c r="B30" s="5"/>
      <c r="E30" s="41"/>
      <c r="F30" s="5"/>
    </row>
    <row r="31" spans="2:6" ht="12.75">
      <c r="B31" s="5"/>
      <c r="E31" s="41"/>
      <c r="F31" s="5"/>
    </row>
    <row r="32" spans="2:6" ht="12.75">
      <c r="B32" s="5"/>
      <c r="E32" s="41"/>
      <c r="F32" s="5"/>
    </row>
    <row r="33" spans="2:6" ht="12.75">
      <c r="B33" s="5"/>
      <c r="E33" s="41"/>
      <c r="F33" s="5"/>
    </row>
    <row r="34" spans="2:6" ht="12.75">
      <c r="B34" s="5"/>
      <c r="E34" s="41"/>
      <c r="F34" s="5"/>
    </row>
    <row r="35" spans="2:6" ht="12.75">
      <c r="B35" s="5"/>
      <c r="E35" s="41"/>
      <c r="F35" s="5"/>
    </row>
    <row r="36" spans="2:6" ht="12.75">
      <c r="B36" s="5"/>
      <c r="E36" s="41"/>
      <c r="F36" s="5"/>
    </row>
    <row r="37" spans="2:6" ht="12.75">
      <c r="B37" s="5"/>
      <c r="E37" s="41"/>
      <c r="F37" s="5"/>
    </row>
    <row r="38" spans="2:6" ht="12.75">
      <c r="B38" s="5"/>
      <c r="E38" s="41"/>
      <c r="F38" s="5"/>
    </row>
    <row r="39" spans="2:6" ht="12.75">
      <c r="B39" s="5"/>
      <c r="E39" s="41"/>
      <c r="F39" s="5"/>
    </row>
    <row r="40" spans="2:6" ht="12.75">
      <c r="B40" s="5"/>
      <c r="E40" s="41"/>
      <c r="F40" s="5"/>
    </row>
    <row r="41" spans="2:6" ht="12.75">
      <c r="B41" s="5"/>
      <c r="E41" s="41"/>
      <c r="F41" s="5"/>
    </row>
    <row r="42" spans="2:6" ht="12.75">
      <c r="B42" s="5"/>
      <c r="E42" s="41"/>
      <c r="F42" s="5"/>
    </row>
    <row r="43" spans="2:6" ht="12.75">
      <c r="B43" s="5"/>
      <c r="E43" s="41"/>
      <c r="F43" s="5"/>
    </row>
    <row r="44" spans="2:6" ht="12.75">
      <c r="B44" s="5"/>
      <c r="E44" s="41"/>
      <c r="F44" s="5"/>
    </row>
    <row r="45" spans="2:6" ht="12.75">
      <c r="B45" s="5"/>
      <c r="E45" s="41"/>
      <c r="F45" s="5"/>
    </row>
    <row r="46" spans="2:6" ht="12.75">
      <c r="B46" s="5"/>
      <c r="E46" s="41"/>
      <c r="F46" s="5"/>
    </row>
    <row r="47" spans="2:6" ht="12.75">
      <c r="B47" s="5"/>
      <c r="E47" s="41"/>
      <c r="F47" s="5"/>
    </row>
    <row r="48" spans="2:6" ht="12.75">
      <c r="B48" s="5"/>
      <c r="E48" s="41"/>
      <c r="F48" s="5"/>
    </row>
    <row r="49" spans="2:6" ht="12.75">
      <c r="B49" s="5"/>
      <c r="E49" s="41"/>
      <c r="F49" s="5"/>
    </row>
    <row r="50" spans="2:6" ht="12.75">
      <c r="B50" s="5"/>
      <c r="E50" s="41"/>
      <c r="F50" s="5"/>
    </row>
    <row r="51" spans="2:6" ht="12.75">
      <c r="B51" s="5"/>
      <c r="E51" s="41"/>
      <c r="F51" s="5"/>
    </row>
    <row r="52" spans="2:6" ht="12.75">
      <c r="B52" s="5"/>
      <c r="E52" s="41"/>
      <c r="F52" s="5"/>
    </row>
    <row r="53" spans="2:6" ht="12.75">
      <c r="B53" s="5"/>
      <c r="E53" s="41"/>
      <c r="F53" s="5"/>
    </row>
    <row r="54" spans="2:6" ht="12.75">
      <c r="B54" s="5"/>
      <c r="E54" s="41"/>
      <c r="F54" s="5"/>
    </row>
    <row r="55" spans="2:6" ht="12.75">
      <c r="B55" s="5"/>
      <c r="E55" s="41"/>
      <c r="F55" s="5"/>
    </row>
    <row r="56" spans="2:6" ht="12.75">
      <c r="B56" s="5"/>
      <c r="E56" s="41"/>
      <c r="F56" s="5"/>
    </row>
    <row r="57" spans="2:6" ht="12.75">
      <c r="B57" s="5"/>
      <c r="E57" s="41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</sheetData>
  <sheetProtection/>
  <hyperlinks>
    <hyperlink ref="P12" r:id="rId1" display="http://www.konkoly.hu/cgi-bin/IBVS?5898"/>
    <hyperlink ref="P13" r:id="rId2" display="http://www.konkoly.hu/cgi-bin/IBVS?5898"/>
    <hyperlink ref="P14" r:id="rId3" display="http://www.konkoly.hu/cgi-bin/IBVS?6007"/>
    <hyperlink ref="P15" r:id="rId4" display="http://www.konkoly.hu/cgi-bin/IBVS?6007"/>
    <hyperlink ref="P16" r:id="rId5" display="http://www.konkoly.hu/cgi-bin/IBVS?6007"/>
    <hyperlink ref="P17" r:id="rId6" display="http://www.konkoly.hu/cgi-bin/IBVS?600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