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475" windowHeight="13560" activeTab="0"/>
  </bookViews>
  <sheets>
    <sheet name="Active" sheetId="1" r:id="rId1"/>
    <sheet name="A (old)" sheetId="2" r:id="rId2"/>
    <sheet name="B" sheetId="3" r:id="rId3"/>
    <sheet name="BAV" sheetId="4" r:id="rId4"/>
  </sheets>
  <definedNames>
    <definedName name="solver_adj" localSheetId="0" hidden="1">'Active'!$E$11:$E$13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'Active'!$E$14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<sst xmlns="http://schemas.openxmlformats.org/spreadsheetml/2006/main" count="798" uniqueCount="317">
  <si>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</si>
  <si>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</si>
  <si>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</si>
  <si>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</si>
  <si>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</si>
  <si>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</si>
  <si>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</si>
  <si>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</si>
  <si>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</si>
  <si>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</si>
  <si>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</si>
  <si>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</si>
  <si>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</si>
  <si>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</si>
  <si>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</si>
  <si>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</si>
  <si>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</si>
  <si>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</si>
  <si>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</si>
  <si>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</si>
  <si>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</si>
  <si>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</si>
  <si>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</si>
  <si>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</si>
  <si>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</si>
  <si>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</si>
  <si>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</si>
  <si>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</si>
  <si>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</si>
  <si>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</si>
  <si>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</si>
  <si>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V719 Her</t>
  </si>
  <si>
    <t>IBVS 4888</t>
  </si>
  <si>
    <t>IBVS 5263</t>
  </si>
  <si>
    <t>II</t>
  </si>
  <si>
    <t>IBVS 5583</t>
  </si>
  <si>
    <t>IBVS 5287</t>
  </si>
  <si>
    <t>I</t>
  </si>
  <si>
    <t>IBVS</t>
  </si>
  <si>
    <t>Period found by TomCat</t>
  </si>
  <si>
    <t>(period search software)</t>
  </si>
  <si>
    <t>WRONG</t>
  </si>
  <si>
    <t>IBVS 4552</t>
  </si>
  <si>
    <t>But see page C -- earlier period</t>
  </si>
  <si>
    <t>Nelson</t>
  </si>
  <si>
    <t>EW</t>
  </si>
  <si>
    <t>see IBVS 4552</t>
  </si>
  <si>
    <t>Weight</t>
  </si>
  <si>
    <t>IBVS 5657</t>
  </si>
  <si>
    <t>Or &gt;&gt;&gt;&gt;&gt;&gt;</t>
  </si>
  <si>
    <t>Quad</t>
  </si>
  <si>
    <t># of data points:</t>
  </si>
  <si>
    <t>IBVS 5760</t>
  </si>
  <si>
    <t>IBVS 5802</t>
  </si>
  <si>
    <t>IBVS 4887</t>
  </si>
  <si>
    <t>IBVS 5027</t>
  </si>
  <si>
    <t>IBVS 5820</t>
  </si>
  <si>
    <t>IBVS 5875</t>
  </si>
  <si>
    <t>IBVS 5874</t>
  </si>
  <si>
    <t>OEJV 0074</t>
  </si>
  <si>
    <t>CCD</t>
  </si>
  <si>
    <t>vis</t>
  </si>
  <si>
    <t>OEJV</t>
  </si>
  <si>
    <t>Start of linear fit (row #)</t>
  </si>
  <si>
    <t>IBVS 5945</t>
  </si>
  <si>
    <t>IBVS 5731</t>
  </si>
  <si>
    <t>IBVS 5918</t>
  </si>
  <si>
    <t>IBVS 5959</t>
  </si>
  <si>
    <t>IBVS 5992</t>
  </si>
  <si>
    <t>IBVS 6070</t>
  </si>
  <si>
    <t>V0719 Her / GSC 03080-00343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</si>
  <si>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</si>
  <si>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</si>
  <si>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</si>
  <si>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</si>
  <si>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</si>
  <si>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</si>
  <si>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</si>
  <si>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</si>
  <si>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</si>
  <si>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</si>
  <si>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2450278.4184 </t>
  </si>
  <si>
    <t> 13.07.1996 22:02 </t>
  </si>
  <si>
    <t> -0.0839 </t>
  </si>
  <si>
    <t>V </t>
  </si>
  <si>
    <t> P.Stepan </t>
  </si>
  <si>
    <t> BRNO 32 </t>
  </si>
  <si>
    <t>2450278.4219 </t>
  </si>
  <si>
    <t> 13.07.1996 22:07 </t>
  </si>
  <si>
    <t> -0.0804 </t>
  </si>
  <si>
    <t> L.Brat </t>
  </si>
  <si>
    <t>2450278.4226 </t>
  </si>
  <si>
    <t> 13.07.1996 22:08 </t>
  </si>
  <si>
    <t> -0.0797 </t>
  </si>
  <si>
    <t> P.Hajek </t>
  </si>
  <si>
    <t>2450278.4254 </t>
  </si>
  <si>
    <t> 13.07.1996 22:12 </t>
  </si>
  <si>
    <t> -0.0769 </t>
  </si>
  <si>
    <t> P.Sobotka </t>
  </si>
  <si>
    <t>2450284.4245 </t>
  </si>
  <si>
    <t> 19.07.1996 22:11 </t>
  </si>
  <si>
    <t> 0.0445 </t>
  </si>
  <si>
    <t>E </t>
  </si>
  <si>
    <t>?</t>
  </si>
  <si>
    <t> J.Safar </t>
  </si>
  <si>
    <t>IBVS 4887 </t>
  </si>
  <si>
    <t>2450946.3488 </t>
  </si>
  <si>
    <t> 12.05.1998 20:22 </t>
  </si>
  <si>
    <t> 0.1370 </t>
  </si>
  <si>
    <t>IBVS 4888 </t>
  </si>
  <si>
    <t>2451045.3824 </t>
  </si>
  <si>
    <t> 19.08.1998 21:10 </t>
  </si>
  <si>
    <t> 0.0889 </t>
  </si>
  <si>
    <t> M.Zejda </t>
  </si>
  <si>
    <t>2451270.5027 </t>
  </si>
  <si>
    <t> 02.04.1999 00:03 </t>
  </si>
  <si>
    <t> 0.1763 </t>
  </si>
  <si>
    <t>IBVS 5263 </t>
  </si>
  <si>
    <t>2451274.5120 </t>
  </si>
  <si>
    <t> 06.04.1999 00:17 </t>
  </si>
  <si>
    <t> 0.1552 </t>
  </si>
  <si>
    <t>2451283.7341 </t>
  </si>
  <si>
    <t> 15.04.1999 05:37 </t>
  </si>
  <si>
    <t> 0.1408 </t>
  </si>
  <si>
    <t> R.Diethelm </t>
  </si>
  <si>
    <t>IBVS 5027 </t>
  </si>
  <si>
    <t>2451657.3973 </t>
  </si>
  <si>
    <t> 22.04.2000 21:32 </t>
  </si>
  <si>
    <t> 0.1487 </t>
  </si>
  <si>
    <t>IBVS 5583 </t>
  </si>
  <si>
    <t>2451672.4321 </t>
  </si>
  <si>
    <t> 07.05.2000 22:22 </t>
  </si>
  <si>
    <t> 0.0693 </t>
  </si>
  <si>
    <t>IBVS 5287 </t>
  </si>
  <si>
    <t>2451675.4359 </t>
  </si>
  <si>
    <t> 10.05.2000 22:27 </t>
  </si>
  <si>
    <t> 0.0503 </t>
  </si>
  <si>
    <t>2451694.4829 </t>
  </si>
  <si>
    <t> 29.05.2000 23:35 </t>
  </si>
  <si>
    <t> 0.1206 </t>
  </si>
  <si>
    <t>2451697.4908 </t>
  </si>
  <si>
    <t> 01.06.2000 23:46 </t>
  </si>
  <si>
    <t> 0.1057 </t>
  </si>
  <si>
    <t>2451714.5339 </t>
  </si>
  <si>
    <t> 19.06.2000 00:48 </t>
  </si>
  <si>
    <t> 0.1874 </t>
  </si>
  <si>
    <t>2451752.4178 </t>
  </si>
  <si>
    <t> 26.07.2000 22:01 </t>
  </si>
  <si>
    <t> 0.1180 </t>
  </si>
  <si>
    <t>2451956.69012 </t>
  </si>
  <si>
    <t> 16.02.2001 04:33 </t>
  </si>
  <si>
    <t> 0.18132 </t>
  </si>
  <si>
    <t>C </t>
  </si>
  <si>
    <t>o</t>
  </si>
  <si>
    <t> J.Šafár </t>
  </si>
  <si>
    <t>OEJV 0074 </t>
  </si>
  <si>
    <t>2451965.7119 </t>
  </si>
  <si>
    <t> 25.02.2001 05:05 </t>
  </si>
  <si>
    <t> 0.1346 </t>
  </si>
  <si>
    <t>2451982.5513 </t>
  </si>
  <si>
    <t> 14.03.2001 01:13 </t>
  </si>
  <si>
    <t> 0.1805 </t>
  </si>
  <si>
    <t>2452002.5959 </t>
  </si>
  <si>
    <t> 03.04.2001 02:18 </t>
  </si>
  <si>
    <t> 0.2408 </t>
  </si>
  <si>
    <t>2452031.4728 </t>
  </si>
  <si>
    <t> 01.05.2001 23:20 </t>
  </si>
  <si>
    <t> 0.2329 </t>
  </si>
  <si>
    <t>2452033.46400 </t>
  </si>
  <si>
    <t> 03.05.2001 23:08 </t>
  </si>
  <si>
    <t> 0.20891 </t>
  </si>
  <si>
    <t> P.Hájek </t>
  </si>
  <si>
    <t>2452106.419 </t>
  </si>
  <si>
    <t> 15.07.2001 22:03 </t>
  </si>
  <si>
    <t> 0.112 </t>
  </si>
  <si>
    <t> B.Procházková </t>
  </si>
  <si>
    <t>2452106.427 </t>
  </si>
  <si>
    <t> 15.07.2001 22:14 </t>
  </si>
  <si>
    <t> 0.120 </t>
  </si>
  <si>
    <t> J.Cechal </t>
  </si>
  <si>
    <t>2452106.431 </t>
  </si>
  <si>
    <t> 15.07.2001 22:20 </t>
  </si>
  <si>
    <t> 0.124 </t>
  </si>
  <si>
    <t> P.Novotná </t>
  </si>
  <si>
    <t>2452106.435 </t>
  </si>
  <si>
    <t> 15.07.2001 22:26 </t>
  </si>
  <si>
    <t> 0.128 </t>
  </si>
  <si>
    <t>2452741.4992 </t>
  </si>
  <si>
    <t> 11.04.2003 23:58 </t>
  </si>
  <si>
    <t> 0.2301 </t>
  </si>
  <si>
    <t>-I</t>
  </si>
  <si>
    <t> F.Agerer </t>
  </si>
  <si>
    <t>BAVM 173 </t>
  </si>
  <si>
    <t>2452828.5028 </t>
  </si>
  <si>
    <t> 08.07.2003 00:04 </t>
  </si>
  <si>
    <t>33435.5</t>
  </si>
  <si>
    <t> 0.2434 </t>
  </si>
  <si>
    <t>2453082.4864 </t>
  </si>
  <si>
    <t> 17.03.2004 23:40 </t>
  </si>
  <si>
    <t>34191.5</t>
  </si>
  <si>
    <t> 0.3093 </t>
  </si>
  <si>
    <t> Moschner &amp; Frank </t>
  </si>
  <si>
    <t>2453117.3678 </t>
  </si>
  <si>
    <t> 21.04.2004 20:49 </t>
  </si>
  <si>
    <t>34295.5</t>
  </si>
  <si>
    <t> 0.2602 </t>
  </si>
  <si>
    <t>2453117.5673 </t>
  </si>
  <si>
    <t> 22.04.2004 01:36 </t>
  </si>
  <si>
    <t>34296</t>
  </si>
  <si>
    <t> 0.2918 </t>
  </si>
  <si>
    <t>2453123.3821 </t>
  </si>
  <si>
    <t> 27.04.2004 21:10 </t>
  </si>
  <si>
    <t>34313.5</t>
  </si>
  <si>
    <t> 0.2289 </t>
  </si>
  <si>
    <t>2453221.4091 </t>
  </si>
  <si>
    <t> 03.08.2004 21:49 </t>
  </si>
  <si>
    <t>34605.5</t>
  </si>
  <si>
    <t> 0.1818 </t>
  </si>
  <si>
    <t> K.&amp; M.Rätz </t>
  </si>
  <si>
    <t>2453814.9762 </t>
  </si>
  <si>
    <t> 20.03.2006 11:25 </t>
  </si>
  <si>
    <t>36373</t>
  </si>
  <si>
    <t> 0.0987 </t>
  </si>
  <si>
    <t> R.Nelson </t>
  </si>
  <si>
    <t>IBVS 5760 </t>
  </si>
  <si>
    <t>2453847.4493 </t>
  </si>
  <si>
    <t> 21.04.2006 22:46 </t>
  </si>
  <si>
    <t>36469.5</t>
  </si>
  <si>
    <t> 0.1603 </t>
  </si>
  <si>
    <t>BAVM 178 </t>
  </si>
  <si>
    <t>2454211.4893 </t>
  </si>
  <si>
    <t> 20.04.2007 23:44 </t>
  </si>
  <si>
    <t>37553.5</t>
  </si>
  <si>
    <t> 0.1173 </t>
  </si>
  <si>
    <t> M.&amp; C.Rätz </t>
  </si>
  <si>
    <t>BAVM 201 </t>
  </si>
  <si>
    <t>2454213.4940 </t>
  </si>
  <si>
    <t> 22.04.2007 23:51 </t>
  </si>
  <si>
    <t>37559.5</t>
  </si>
  <si>
    <t> 0.1067 </t>
  </si>
  <si>
    <t>2454233.739 </t>
  </si>
  <si>
    <t> 13.05.2007 05:44 </t>
  </si>
  <si>
    <t>37620</t>
  </si>
  <si>
    <t> 0.032 </t>
  </si>
  <si>
    <t>IBVS 5820 </t>
  </si>
  <si>
    <t>2454240.5550 </t>
  </si>
  <si>
    <t> 20.05.2007 01:19 </t>
  </si>
  <si>
    <t>37640</t>
  </si>
  <si>
    <t> 0.1302 </t>
  </si>
  <si>
    <t>BAVM 186 </t>
  </si>
  <si>
    <t>2454329.3611 </t>
  </si>
  <si>
    <t> 16.08.2007 20:39 </t>
  </si>
  <si>
    <t>37904.5</t>
  </si>
  <si>
    <t>2454908.4961 </t>
  </si>
  <si>
    <t> 17.03.2009 23:54 </t>
  </si>
  <si>
    <t>39629</t>
  </si>
  <si>
    <t> 0.0259 </t>
  </si>
  <si>
    <t>BAVM 209 </t>
  </si>
  <si>
    <t>2454932.3537 </t>
  </si>
  <si>
    <t> 10.04.2009 20:29 </t>
  </si>
  <si>
    <t>39700</t>
  </si>
  <si>
    <t> 0.0367 </t>
  </si>
  <si>
    <t>BAVM 212 </t>
  </si>
  <si>
    <t>2454937.3581 </t>
  </si>
  <si>
    <t> 15.04.2009 20:35 </t>
  </si>
  <si>
    <t>39715</t>
  </si>
  <si>
    <t> 0.0031 </t>
  </si>
  <si>
    <t>2454937.5646 </t>
  </si>
  <si>
    <t> 16.04.2009 01:33 </t>
  </si>
  <si>
    <t>39715.5</t>
  </si>
  <si>
    <t> 0.0416 </t>
  </si>
  <si>
    <t>2455084.3007 </t>
  </si>
  <si>
    <t> 09.09.2009 19:13 </t>
  </si>
  <si>
    <t>40152.5</t>
  </si>
  <si>
    <t> 0.0025 </t>
  </si>
  <si>
    <t>-U;-I</t>
  </si>
  <si>
    <t> M.Rätz &amp; K.Rätz </t>
  </si>
  <si>
    <t>BAVM 214 </t>
  </si>
  <si>
    <t>2455092.3198 </t>
  </si>
  <si>
    <t> 17.09.2009 19:40 </t>
  </si>
  <si>
    <t>40176.5</t>
  </si>
  <si>
    <t> -0.0393 </t>
  </si>
  <si>
    <t>2455311.8299 </t>
  </si>
  <si>
    <t> 25.04.2010 07:55 </t>
  </si>
  <si>
    <t>40830</t>
  </si>
  <si>
    <t> -0.0202 </t>
  </si>
  <si>
    <t>IBVS 5945 </t>
  </si>
  <si>
    <t>2455341.4961 </t>
  </si>
  <si>
    <t> 24.05.2010 23:54 </t>
  </si>
  <si>
    <t>40918.5</t>
  </si>
  <si>
    <t> -0.0785 </t>
  </si>
  <si>
    <t>2455358.5328 </t>
  </si>
  <si>
    <t> 11.06.2010 00:47 </t>
  </si>
  <si>
    <t>40969</t>
  </si>
  <si>
    <t> -0.0032 </t>
  </si>
  <si>
    <t>2455388.4044 </t>
  </si>
  <si>
    <t> 10.07.2010 21:42 </t>
  </si>
  <si>
    <t>41058</t>
  </si>
  <si>
    <t> -0.0241 </t>
  </si>
  <si>
    <t>BAVM 215 </t>
  </si>
  <si>
    <t>2455721.7693 </t>
  </si>
  <si>
    <t> 09.06.2011 06:27 </t>
  </si>
  <si>
    <t>42050.5</t>
  </si>
  <si>
    <t> -0.0101 </t>
  </si>
  <si>
    <t>IBVS 5992 </t>
  </si>
  <si>
    <t>2456132.5200 </t>
  </si>
  <si>
    <t> 24.07.2012 00:28 </t>
  </si>
  <si>
    <t>43273.5</t>
  </si>
  <si>
    <t> -0.0284 </t>
  </si>
  <si>
    <t>BAVM 231 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</si>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</sst>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E+00"/>
    <numFmt numFmtId="177" formatCode="0.0%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trike/>
      <sz val="10"/>
      <name val="Arial Unicode MS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0" fontId="47" fillId="27" borderId="6" applyNumberFormat="0" applyAlignment="0" applyProtection="0"/>
    <xf numFmtId="1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vertical="top"/>
    </xf>
    <xf numFmtId="0" fontId="19" fillId="0" borderId="0" xfId="54" applyAlignment="1" applyProtection="1">
      <alignment horizontal="left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24" xfId="0" applyFont="1" applyFill="1" applyBorder="1" applyAlignment="1">
      <alignment horizontal="left" vertical="top" wrapText="1" inden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right" vertical="top" wrapText="1"/>
    </xf>
    <xf numFmtId="0" fontId="19" fillId="33" borderId="24" xfId="54" applyFill="1" applyBorder="1" applyAlignment="1" applyProtection="1">
      <alignment horizontal="right" vertical="top" wrapText="1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22" fontId="13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5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V719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45"/>
          <c:w val="0.908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Active!$H$21:$H$1017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Active!$D$21:$D$1095</c:f>
                <c:numCache>
                  <c:ptCount val="10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0.0028</c:v>
                  </c:pt>
                  <c:pt idx="9">
                    <c:v>0.0042</c:v>
                  </c:pt>
                  <c:pt idx="10">
                    <c:v>0.0019</c:v>
                  </c:pt>
                  <c:pt idx="11">
                    <c:v>0.0056</c:v>
                  </c:pt>
                  <c:pt idx="12">
                    <c:v>0.0056</c:v>
                  </c:pt>
                  <c:pt idx="13">
                    <c:v>0.0029</c:v>
                  </c:pt>
                  <c:pt idx="14">
                    <c:v>0.0031</c:v>
                  </c:pt>
                  <c:pt idx="15">
                    <c:v>0.0055</c:v>
                  </c:pt>
                  <c:pt idx="16">
                    <c:v>0.0055</c:v>
                  </c:pt>
                  <c:pt idx="17">
                    <c:v>0.0027</c:v>
                  </c:pt>
                  <c:pt idx="18">
                    <c:v>0.0067</c:v>
                  </c:pt>
                  <c:pt idx="19">
                    <c:v>0.0067</c:v>
                  </c:pt>
                  <c:pt idx="20">
                    <c:v>0.0049</c:v>
                  </c:pt>
                  <c:pt idx="21">
                    <c:v>0.0049</c:v>
                  </c:pt>
                  <c:pt idx="22">
                    <c:v>0.0008</c:v>
                  </c:pt>
                  <c:pt idx="23">
                    <c:v>0.0042</c:v>
                  </c:pt>
                  <c:pt idx="24">
                    <c:v>0.0042</c:v>
                  </c:pt>
                  <c:pt idx="25">
                    <c:v>0.0034</c:v>
                  </c:pt>
                  <c:pt idx="26">
                    <c:v>0.0034</c:v>
                  </c:pt>
                  <c:pt idx="27">
                    <c:v>0.0016</c:v>
                  </c:pt>
                  <c:pt idx="28">
                    <c:v>0.0016</c:v>
                  </c:pt>
                  <c:pt idx="29">
                    <c:v>0.0028</c:v>
                  </c:pt>
                  <c:pt idx="30">
                    <c:v>0.0028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0.0006</c:v>
                  </c:pt>
                  <c:pt idx="37">
                    <c:v>0.0043</c:v>
                  </c:pt>
                  <c:pt idx="38">
                    <c:v>0.0043</c:v>
                  </c:pt>
                  <c:pt idx="39">
                    <c:v>0.0009</c:v>
                  </c:pt>
                  <c:pt idx="40">
                    <c:v>0.0003</c:v>
                  </c:pt>
                  <c:pt idx="41">
                    <c:v>0.0003</c:v>
                  </c:pt>
                  <c:pt idx="42">
                    <c:v>0.0002</c:v>
                  </c:pt>
                  <c:pt idx="43">
                    <c:v>0.0007</c:v>
                  </c:pt>
                  <c:pt idx="44">
                    <c:v>0.0001</c:v>
                  </c:pt>
                  <c:pt idx="45">
                    <c:v>0.0015</c:v>
                  </c:pt>
                  <c:pt idx="46">
                    <c:v>0.0003</c:v>
                  </c:pt>
                  <c:pt idx="47">
                    <c:v>0.0003</c:v>
                  </c:pt>
                  <c:pt idx="48">
                    <c:v>0.001</c:v>
                  </c:pt>
                  <c:pt idx="49">
                    <c:v>0.0001</c:v>
                  </c:pt>
                  <c:pt idx="50">
                    <c:v>0.0003</c:v>
                  </c:pt>
                  <c:pt idx="51">
                    <c:v>0.0004</c:v>
                  </c:pt>
                  <c:pt idx="52">
                    <c:v>0.0011</c:v>
                  </c:pt>
                  <c:pt idx="53">
                    <c:v>0</c:v>
                  </c:pt>
                  <c:pt idx="54">
                    <c:v>0.001</c:v>
                  </c:pt>
                  <c:pt idx="55">
                    <c:v>0.0005</c:v>
                  </c:pt>
                  <c:pt idx="56">
                    <c:v>0.0002</c:v>
                  </c:pt>
                  <c:pt idx="57">
                    <c:v>0.0002</c:v>
                  </c:pt>
                  <c:pt idx="58">
                    <c:v>0.0005</c:v>
                  </c:pt>
                  <c:pt idx="59">
                    <c:v>0.0022</c:v>
                  </c:pt>
                  <c:pt idx="60">
                    <c:v>0.0013</c:v>
                  </c:pt>
                  <c:pt idx="61">
                    <c:v>0.001</c:v>
                  </c:pt>
                  <c:pt idx="62">
                    <c:v>0.0005</c:v>
                  </c:pt>
                  <c:pt idx="63">
                    <c:v>0.0022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  <c:pt idx="1000">
                    <c:v>NaN</c:v>
                  </c:pt>
                  <c:pt idx="1001">
                    <c:v>NaN</c:v>
                  </c:pt>
                  <c:pt idx="1002">
                    <c:v>NaN</c:v>
                  </c:pt>
                  <c:pt idx="1003">
                    <c:v>NaN</c:v>
                  </c:pt>
                  <c:pt idx="1004">
                    <c:v>NaN</c:v>
                  </c:pt>
                  <c:pt idx="1005">
                    <c:v>NaN</c:v>
                  </c:pt>
                  <c:pt idx="1006">
                    <c:v>NaN</c:v>
                  </c:pt>
                  <c:pt idx="1007">
                    <c:v>NaN</c:v>
                  </c:pt>
                  <c:pt idx="1008">
                    <c:v>NaN</c:v>
                  </c:pt>
                  <c:pt idx="1009">
                    <c:v>NaN</c:v>
                  </c:pt>
                  <c:pt idx="1010">
                    <c:v>NaN</c:v>
                  </c:pt>
                  <c:pt idx="1011">
                    <c:v>NaN</c:v>
                  </c:pt>
                  <c:pt idx="1012">
                    <c:v>NaN</c:v>
                  </c:pt>
                  <c:pt idx="1013">
                    <c:v>NaN</c:v>
                  </c:pt>
                  <c:pt idx="1014">
                    <c:v>NaN</c:v>
                  </c:pt>
                  <c:pt idx="1015">
                    <c:v>NaN</c:v>
                  </c:pt>
                </c:numCache>
              </c:numRef>
            </c:plus>
            <c:minus>
              <c:numRef>
                <c:f>Active!$D$21:$D$1095</c:f>
                <c:numCache>
                  <c:ptCount val="10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0.0028</c:v>
                  </c:pt>
                  <c:pt idx="9">
                    <c:v>0.0042</c:v>
                  </c:pt>
                  <c:pt idx="10">
                    <c:v>0.0019</c:v>
                  </c:pt>
                  <c:pt idx="11">
                    <c:v>0.0056</c:v>
                  </c:pt>
                  <c:pt idx="12">
                    <c:v>0.0056</c:v>
                  </c:pt>
                  <c:pt idx="13">
                    <c:v>0.0029</c:v>
                  </c:pt>
                  <c:pt idx="14">
                    <c:v>0.0031</c:v>
                  </c:pt>
                  <c:pt idx="15">
                    <c:v>0.0055</c:v>
                  </c:pt>
                  <c:pt idx="16">
                    <c:v>0.0055</c:v>
                  </c:pt>
                  <c:pt idx="17">
                    <c:v>0.0027</c:v>
                  </c:pt>
                  <c:pt idx="18">
                    <c:v>0.0067</c:v>
                  </c:pt>
                  <c:pt idx="19">
                    <c:v>0.0067</c:v>
                  </c:pt>
                  <c:pt idx="20">
                    <c:v>0.0049</c:v>
                  </c:pt>
                  <c:pt idx="21">
                    <c:v>0.0049</c:v>
                  </c:pt>
                  <c:pt idx="22">
                    <c:v>0.0008</c:v>
                  </c:pt>
                  <c:pt idx="23">
                    <c:v>0.0042</c:v>
                  </c:pt>
                  <c:pt idx="24">
                    <c:v>0.0042</c:v>
                  </c:pt>
                  <c:pt idx="25">
                    <c:v>0.0034</c:v>
                  </c:pt>
                  <c:pt idx="26">
                    <c:v>0.0034</c:v>
                  </c:pt>
                  <c:pt idx="27">
                    <c:v>0.0016</c:v>
                  </c:pt>
                  <c:pt idx="28">
                    <c:v>0.0016</c:v>
                  </c:pt>
                  <c:pt idx="29">
                    <c:v>0.0028</c:v>
                  </c:pt>
                  <c:pt idx="30">
                    <c:v>0.0028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0.0006</c:v>
                  </c:pt>
                  <c:pt idx="37">
                    <c:v>0.0043</c:v>
                  </c:pt>
                  <c:pt idx="38">
                    <c:v>0.0043</c:v>
                  </c:pt>
                  <c:pt idx="39">
                    <c:v>0.0009</c:v>
                  </c:pt>
                  <c:pt idx="40">
                    <c:v>0.0003</c:v>
                  </c:pt>
                  <c:pt idx="41">
                    <c:v>0.0003</c:v>
                  </c:pt>
                  <c:pt idx="42">
                    <c:v>0.0002</c:v>
                  </c:pt>
                  <c:pt idx="43">
                    <c:v>0.0007</c:v>
                  </c:pt>
                  <c:pt idx="44">
                    <c:v>0.0001</c:v>
                  </c:pt>
                  <c:pt idx="45">
                    <c:v>0.0015</c:v>
                  </c:pt>
                  <c:pt idx="46">
                    <c:v>0.0003</c:v>
                  </c:pt>
                  <c:pt idx="47">
                    <c:v>0.0003</c:v>
                  </c:pt>
                  <c:pt idx="48">
                    <c:v>0.001</c:v>
                  </c:pt>
                  <c:pt idx="49">
                    <c:v>0.0001</c:v>
                  </c:pt>
                  <c:pt idx="50">
                    <c:v>0.0003</c:v>
                  </c:pt>
                  <c:pt idx="51">
                    <c:v>0.0004</c:v>
                  </c:pt>
                  <c:pt idx="52">
                    <c:v>0.0011</c:v>
                  </c:pt>
                  <c:pt idx="53">
                    <c:v>0</c:v>
                  </c:pt>
                  <c:pt idx="54">
                    <c:v>0.001</c:v>
                  </c:pt>
                  <c:pt idx="55">
                    <c:v>0.0005</c:v>
                  </c:pt>
                  <c:pt idx="56">
                    <c:v>0.0002</c:v>
                  </c:pt>
                  <c:pt idx="57">
                    <c:v>0.0002</c:v>
                  </c:pt>
                  <c:pt idx="58">
                    <c:v>0.0005</c:v>
                  </c:pt>
                  <c:pt idx="59">
                    <c:v>0.0022</c:v>
                  </c:pt>
                  <c:pt idx="60">
                    <c:v>0.0013</c:v>
                  </c:pt>
                  <c:pt idx="61">
                    <c:v>0.001</c:v>
                  </c:pt>
                  <c:pt idx="62">
                    <c:v>0.0005</c:v>
                  </c:pt>
                  <c:pt idx="63">
                    <c:v>0.0022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  <c:pt idx="1000">
                    <c:v>NaN</c:v>
                  </c:pt>
                  <c:pt idx="1001">
                    <c:v>NaN</c:v>
                  </c:pt>
                  <c:pt idx="1002">
                    <c:v>NaN</c:v>
                  </c:pt>
                  <c:pt idx="1003">
                    <c:v>NaN</c:v>
                  </c:pt>
                  <c:pt idx="1004">
                    <c:v>NaN</c:v>
                  </c:pt>
                  <c:pt idx="1005">
                    <c:v>NaN</c:v>
                  </c:pt>
                  <c:pt idx="1006">
                    <c:v>NaN</c:v>
                  </c:pt>
                  <c:pt idx="1007">
                    <c:v>NaN</c:v>
                  </c:pt>
                  <c:pt idx="1008">
                    <c:v>NaN</c:v>
                  </c:pt>
                  <c:pt idx="1009">
                    <c:v>NaN</c:v>
                  </c:pt>
                  <c:pt idx="1010">
                    <c:v>NaN</c:v>
                  </c:pt>
                  <c:pt idx="1011">
                    <c:v>NaN</c:v>
                  </c:pt>
                  <c:pt idx="1012">
                    <c:v>NaN</c:v>
                  </c:pt>
                  <c:pt idx="1013">
                    <c:v>NaN</c:v>
                  </c:pt>
                  <c:pt idx="1014">
                    <c:v>NaN</c:v>
                  </c:pt>
                  <c:pt idx="101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Active!$F$21:$F$1017</c:f>
              <c:numCache/>
            </c:numRef>
          </c:xVal>
          <c:yVal>
            <c:numRef>
              <c:f>Active!$I$21:$I$1017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Active!$D$21:$D$65</c:f>
                <c:numCache>
                  <c:ptCount val="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0.0028</c:v>
                  </c:pt>
                  <c:pt idx="9">
                    <c:v>0.0042</c:v>
                  </c:pt>
                  <c:pt idx="10">
                    <c:v>0.0019</c:v>
                  </c:pt>
                  <c:pt idx="11">
                    <c:v>0.0056</c:v>
                  </c:pt>
                  <c:pt idx="12">
                    <c:v>0.0056</c:v>
                  </c:pt>
                  <c:pt idx="13">
                    <c:v>0.0029</c:v>
                  </c:pt>
                  <c:pt idx="14">
                    <c:v>0.0031</c:v>
                  </c:pt>
                  <c:pt idx="15">
                    <c:v>0.0055</c:v>
                  </c:pt>
                  <c:pt idx="16">
                    <c:v>0.0055</c:v>
                  </c:pt>
                  <c:pt idx="17">
                    <c:v>0.0027</c:v>
                  </c:pt>
                  <c:pt idx="18">
                    <c:v>0.0067</c:v>
                  </c:pt>
                  <c:pt idx="19">
                    <c:v>0.0067</c:v>
                  </c:pt>
                  <c:pt idx="20">
                    <c:v>0.0049</c:v>
                  </c:pt>
                  <c:pt idx="21">
                    <c:v>0.0049</c:v>
                  </c:pt>
                  <c:pt idx="22">
                    <c:v>0.0008</c:v>
                  </c:pt>
                  <c:pt idx="23">
                    <c:v>0.0042</c:v>
                  </c:pt>
                  <c:pt idx="24">
                    <c:v>0.0042</c:v>
                  </c:pt>
                  <c:pt idx="25">
                    <c:v>0.0034</c:v>
                  </c:pt>
                  <c:pt idx="26">
                    <c:v>0.0034</c:v>
                  </c:pt>
                  <c:pt idx="27">
                    <c:v>0.0016</c:v>
                  </c:pt>
                  <c:pt idx="28">
                    <c:v>0.0016</c:v>
                  </c:pt>
                  <c:pt idx="29">
                    <c:v>0.0028</c:v>
                  </c:pt>
                  <c:pt idx="30">
                    <c:v>0.0028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0.0006</c:v>
                  </c:pt>
                  <c:pt idx="37">
                    <c:v>0.0043</c:v>
                  </c:pt>
                  <c:pt idx="38">
                    <c:v>0.0043</c:v>
                  </c:pt>
                  <c:pt idx="39">
                    <c:v>0.0009</c:v>
                  </c:pt>
                  <c:pt idx="40">
                    <c:v>0.0003</c:v>
                  </c:pt>
                  <c:pt idx="41">
                    <c:v>0.0003</c:v>
                  </c:pt>
                  <c:pt idx="42">
                    <c:v>0.0002</c:v>
                  </c:pt>
                  <c:pt idx="43">
                    <c:v>0.0007</c:v>
                  </c:pt>
                  <c:pt idx="44">
                    <c:v>0.0001</c:v>
                  </c:pt>
                </c:numCache>
              </c:numRef>
            </c:plus>
            <c:minus>
              <c:numRef>
                <c:f>Active!$D$21:$D$65</c:f>
                <c:numCache>
                  <c:ptCount val="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0.0028</c:v>
                  </c:pt>
                  <c:pt idx="9">
                    <c:v>0.0042</c:v>
                  </c:pt>
                  <c:pt idx="10">
                    <c:v>0.0019</c:v>
                  </c:pt>
                  <c:pt idx="11">
                    <c:v>0.0056</c:v>
                  </c:pt>
                  <c:pt idx="12">
                    <c:v>0.0056</c:v>
                  </c:pt>
                  <c:pt idx="13">
                    <c:v>0.0029</c:v>
                  </c:pt>
                  <c:pt idx="14">
                    <c:v>0.0031</c:v>
                  </c:pt>
                  <c:pt idx="15">
                    <c:v>0.0055</c:v>
                  </c:pt>
                  <c:pt idx="16">
                    <c:v>0.0055</c:v>
                  </c:pt>
                  <c:pt idx="17">
                    <c:v>0.0027</c:v>
                  </c:pt>
                  <c:pt idx="18">
                    <c:v>0.0067</c:v>
                  </c:pt>
                  <c:pt idx="19">
                    <c:v>0.0067</c:v>
                  </c:pt>
                  <c:pt idx="20">
                    <c:v>0.0049</c:v>
                  </c:pt>
                  <c:pt idx="21">
                    <c:v>0.0049</c:v>
                  </c:pt>
                  <c:pt idx="22">
                    <c:v>0.0008</c:v>
                  </c:pt>
                  <c:pt idx="23">
                    <c:v>0.0042</c:v>
                  </c:pt>
                  <c:pt idx="24">
                    <c:v>0.0042</c:v>
                  </c:pt>
                  <c:pt idx="25">
                    <c:v>0.0034</c:v>
                  </c:pt>
                  <c:pt idx="26">
                    <c:v>0.0034</c:v>
                  </c:pt>
                  <c:pt idx="27">
                    <c:v>0.0016</c:v>
                  </c:pt>
                  <c:pt idx="28">
                    <c:v>0.0016</c:v>
                  </c:pt>
                  <c:pt idx="29">
                    <c:v>0.0028</c:v>
                  </c:pt>
                  <c:pt idx="30">
                    <c:v>0.0028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0.0006</c:v>
                  </c:pt>
                  <c:pt idx="37">
                    <c:v>0.0043</c:v>
                  </c:pt>
                  <c:pt idx="38">
                    <c:v>0.0043</c:v>
                  </c:pt>
                  <c:pt idx="39">
                    <c:v>0.0009</c:v>
                  </c:pt>
                  <c:pt idx="40">
                    <c:v>0.0003</c:v>
                  </c:pt>
                  <c:pt idx="41">
                    <c:v>0.0003</c:v>
                  </c:pt>
                  <c:pt idx="42">
                    <c:v>0.0002</c:v>
                  </c:pt>
                  <c:pt idx="43">
                    <c:v>0.0007</c:v>
                  </c:pt>
                  <c:pt idx="44">
                    <c:v>0.0001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Active!$F$21:$F$1017</c:f>
              <c:numCache/>
            </c:numRef>
          </c:xVal>
          <c:yVal>
            <c:numRef>
              <c:f>Active!$J$21:$J$1017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Active!$K$21:$K$1017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Active!$L$21:$L$1017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Active!$M$21:$M$1017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Active!$N$21:$N$1017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Active!$F$21:$F$1017</c:f>
              <c:numCache/>
            </c:numRef>
          </c:xVal>
          <c:yVal>
            <c:numRef>
              <c:f>Active!$O$21:$O$1017</c:f>
              <c:numCache/>
            </c:numRef>
          </c:yVal>
          <c:smooth val="0"/>
        </c:ser>
        <c:ser>
          <c:idx val="8"/>
          <c:order val="8"/>
          <c:tx>
            <c:strRef>
              <c:f>Active!$V$1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Active!$U$2:$U$1017</c:f>
              <c:numCache/>
            </c:numRef>
          </c:xVal>
          <c:yVal>
            <c:numRef>
              <c:f>Active!$V$2:$V$1017</c:f>
              <c:numCache/>
            </c:numRef>
          </c:yVal>
          <c:smooth val="0"/>
        </c:ser>
        <c:axId val="17912124"/>
        <c:axId val="26991389"/>
      </c:scatterChart>
      <c:valAx>
        <c:axId val="17912124"/>
        <c:scaling>
          <c:orientation val="minMax"/>
          <c:min val="2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crossBetween val="midCat"/>
        <c:dispUnits/>
      </c:valAx>
      <c:valAx>
        <c:axId val="2699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45"/>
          <c:y val="0.931"/>
          <c:w val="0.84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V719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"/>
          <c:w val="0.90675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Active!$H$21:$H$1017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Active!$D$21:$D$1095</c:f>
                <c:numCache>
                  <c:ptCount val="10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0.0028</c:v>
                  </c:pt>
                  <c:pt idx="9">
                    <c:v>0.0042</c:v>
                  </c:pt>
                  <c:pt idx="10">
                    <c:v>0.0019</c:v>
                  </c:pt>
                  <c:pt idx="11">
                    <c:v>0.0056</c:v>
                  </c:pt>
                  <c:pt idx="12">
                    <c:v>0.0056</c:v>
                  </c:pt>
                  <c:pt idx="13">
                    <c:v>0.0029</c:v>
                  </c:pt>
                  <c:pt idx="14">
                    <c:v>0.0031</c:v>
                  </c:pt>
                  <c:pt idx="15">
                    <c:v>0.0055</c:v>
                  </c:pt>
                  <c:pt idx="16">
                    <c:v>0.0055</c:v>
                  </c:pt>
                  <c:pt idx="17">
                    <c:v>0.0027</c:v>
                  </c:pt>
                  <c:pt idx="18">
                    <c:v>0.0067</c:v>
                  </c:pt>
                  <c:pt idx="19">
                    <c:v>0.0067</c:v>
                  </c:pt>
                  <c:pt idx="20">
                    <c:v>0.0049</c:v>
                  </c:pt>
                  <c:pt idx="21">
                    <c:v>0.0049</c:v>
                  </c:pt>
                  <c:pt idx="22">
                    <c:v>0.0008</c:v>
                  </c:pt>
                  <c:pt idx="23">
                    <c:v>0.0042</c:v>
                  </c:pt>
                  <c:pt idx="24">
                    <c:v>0.0042</c:v>
                  </c:pt>
                  <c:pt idx="25">
                    <c:v>0.0034</c:v>
                  </c:pt>
                  <c:pt idx="26">
                    <c:v>0.0034</c:v>
                  </c:pt>
                  <c:pt idx="27">
                    <c:v>0.0016</c:v>
                  </c:pt>
                  <c:pt idx="28">
                    <c:v>0.0016</c:v>
                  </c:pt>
                  <c:pt idx="29">
                    <c:v>0.0028</c:v>
                  </c:pt>
                  <c:pt idx="30">
                    <c:v>0.0028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0.0006</c:v>
                  </c:pt>
                  <c:pt idx="37">
                    <c:v>0.0043</c:v>
                  </c:pt>
                  <c:pt idx="38">
                    <c:v>0.0043</c:v>
                  </c:pt>
                  <c:pt idx="39">
                    <c:v>0.0009</c:v>
                  </c:pt>
                  <c:pt idx="40">
                    <c:v>0.0003</c:v>
                  </c:pt>
                  <c:pt idx="41">
                    <c:v>0.0003</c:v>
                  </c:pt>
                  <c:pt idx="42">
                    <c:v>0.0002</c:v>
                  </c:pt>
                  <c:pt idx="43">
                    <c:v>0.0007</c:v>
                  </c:pt>
                  <c:pt idx="44">
                    <c:v>0.0001</c:v>
                  </c:pt>
                  <c:pt idx="45">
                    <c:v>0.0015</c:v>
                  </c:pt>
                  <c:pt idx="46">
                    <c:v>0.0003</c:v>
                  </c:pt>
                  <c:pt idx="47">
                    <c:v>0.0003</c:v>
                  </c:pt>
                  <c:pt idx="48">
                    <c:v>0.001</c:v>
                  </c:pt>
                  <c:pt idx="49">
                    <c:v>0.0001</c:v>
                  </c:pt>
                  <c:pt idx="50">
                    <c:v>0.0003</c:v>
                  </c:pt>
                  <c:pt idx="51">
                    <c:v>0.0004</c:v>
                  </c:pt>
                  <c:pt idx="52">
                    <c:v>0.0011</c:v>
                  </c:pt>
                  <c:pt idx="53">
                    <c:v>0</c:v>
                  </c:pt>
                  <c:pt idx="54">
                    <c:v>0.001</c:v>
                  </c:pt>
                  <c:pt idx="55">
                    <c:v>0.0005</c:v>
                  </c:pt>
                  <c:pt idx="56">
                    <c:v>0.0002</c:v>
                  </c:pt>
                  <c:pt idx="57">
                    <c:v>0.0002</c:v>
                  </c:pt>
                  <c:pt idx="58">
                    <c:v>0.0005</c:v>
                  </c:pt>
                  <c:pt idx="59">
                    <c:v>0.0022</c:v>
                  </c:pt>
                  <c:pt idx="60">
                    <c:v>0.0013</c:v>
                  </c:pt>
                  <c:pt idx="61">
                    <c:v>0.001</c:v>
                  </c:pt>
                  <c:pt idx="62">
                    <c:v>0.0005</c:v>
                  </c:pt>
                  <c:pt idx="63">
                    <c:v>0.0022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  <c:pt idx="1000">
                    <c:v>NaN</c:v>
                  </c:pt>
                  <c:pt idx="1001">
                    <c:v>NaN</c:v>
                  </c:pt>
                  <c:pt idx="1002">
                    <c:v>NaN</c:v>
                  </c:pt>
                  <c:pt idx="1003">
                    <c:v>NaN</c:v>
                  </c:pt>
                  <c:pt idx="1004">
                    <c:v>NaN</c:v>
                  </c:pt>
                  <c:pt idx="1005">
                    <c:v>NaN</c:v>
                  </c:pt>
                  <c:pt idx="1006">
                    <c:v>NaN</c:v>
                  </c:pt>
                  <c:pt idx="1007">
                    <c:v>NaN</c:v>
                  </c:pt>
                  <c:pt idx="1008">
                    <c:v>NaN</c:v>
                  </c:pt>
                  <c:pt idx="1009">
                    <c:v>NaN</c:v>
                  </c:pt>
                  <c:pt idx="1010">
                    <c:v>NaN</c:v>
                  </c:pt>
                  <c:pt idx="1011">
                    <c:v>NaN</c:v>
                  </c:pt>
                  <c:pt idx="1012">
                    <c:v>NaN</c:v>
                  </c:pt>
                  <c:pt idx="1013">
                    <c:v>NaN</c:v>
                  </c:pt>
                  <c:pt idx="1014">
                    <c:v>NaN</c:v>
                  </c:pt>
                  <c:pt idx="1015">
                    <c:v>NaN</c:v>
                  </c:pt>
                </c:numCache>
              </c:numRef>
            </c:plus>
            <c:minus>
              <c:numRef>
                <c:f>Active!$D$21:$D$1095</c:f>
                <c:numCache>
                  <c:ptCount val="10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0.0028</c:v>
                  </c:pt>
                  <c:pt idx="9">
                    <c:v>0.0042</c:v>
                  </c:pt>
                  <c:pt idx="10">
                    <c:v>0.0019</c:v>
                  </c:pt>
                  <c:pt idx="11">
                    <c:v>0.0056</c:v>
                  </c:pt>
                  <c:pt idx="12">
                    <c:v>0.0056</c:v>
                  </c:pt>
                  <c:pt idx="13">
                    <c:v>0.0029</c:v>
                  </c:pt>
                  <c:pt idx="14">
                    <c:v>0.0031</c:v>
                  </c:pt>
                  <c:pt idx="15">
                    <c:v>0.0055</c:v>
                  </c:pt>
                  <c:pt idx="16">
                    <c:v>0.0055</c:v>
                  </c:pt>
                  <c:pt idx="17">
                    <c:v>0.0027</c:v>
                  </c:pt>
                  <c:pt idx="18">
                    <c:v>0.0067</c:v>
                  </c:pt>
                  <c:pt idx="19">
                    <c:v>0.0067</c:v>
                  </c:pt>
                  <c:pt idx="20">
                    <c:v>0.0049</c:v>
                  </c:pt>
                  <c:pt idx="21">
                    <c:v>0.0049</c:v>
                  </c:pt>
                  <c:pt idx="22">
                    <c:v>0.0008</c:v>
                  </c:pt>
                  <c:pt idx="23">
                    <c:v>0.0042</c:v>
                  </c:pt>
                  <c:pt idx="24">
                    <c:v>0.0042</c:v>
                  </c:pt>
                  <c:pt idx="25">
                    <c:v>0.0034</c:v>
                  </c:pt>
                  <c:pt idx="26">
                    <c:v>0.0034</c:v>
                  </c:pt>
                  <c:pt idx="27">
                    <c:v>0.0016</c:v>
                  </c:pt>
                  <c:pt idx="28">
                    <c:v>0.0016</c:v>
                  </c:pt>
                  <c:pt idx="29">
                    <c:v>0.0028</c:v>
                  </c:pt>
                  <c:pt idx="30">
                    <c:v>0.0028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0.0006</c:v>
                  </c:pt>
                  <c:pt idx="37">
                    <c:v>0.0043</c:v>
                  </c:pt>
                  <c:pt idx="38">
                    <c:v>0.0043</c:v>
                  </c:pt>
                  <c:pt idx="39">
                    <c:v>0.0009</c:v>
                  </c:pt>
                  <c:pt idx="40">
                    <c:v>0.0003</c:v>
                  </c:pt>
                  <c:pt idx="41">
                    <c:v>0.0003</c:v>
                  </c:pt>
                  <c:pt idx="42">
                    <c:v>0.0002</c:v>
                  </c:pt>
                  <c:pt idx="43">
                    <c:v>0.0007</c:v>
                  </c:pt>
                  <c:pt idx="44">
                    <c:v>0.0001</c:v>
                  </c:pt>
                  <c:pt idx="45">
                    <c:v>0.0015</c:v>
                  </c:pt>
                  <c:pt idx="46">
                    <c:v>0.0003</c:v>
                  </c:pt>
                  <c:pt idx="47">
                    <c:v>0.0003</c:v>
                  </c:pt>
                  <c:pt idx="48">
                    <c:v>0.001</c:v>
                  </c:pt>
                  <c:pt idx="49">
                    <c:v>0.0001</c:v>
                  </c:pt>
                  <c:pt idx="50">
                    <c:v>0.0003</c:v>
                  </c:pt>
                  <c:pt idx="51">
                    <c:v>0.0004</c:v>
                  </c:pt>
                  <c:pt idx="52">
                    <c:v>0.0011</c:v>
                  </c:pt>
                  <c:pt idx="53">
                    <c:v>0</c:v>
                  </c:pt>
                  <c:pt idx="54">
                    <c:v>0.001</c:v>
                  </c:pt>
                  <c:pt idx="55">
                    <c:v>0.0005</c:v>
                  </c:pt>
                  <c:pt idx="56">
                    <c:v>0.0002</c:v>
                  </c:pt>
                  <c:pt idx="57">
                    <c:v>0.0002</c:v>
                  </c:pt>
                  <c:pt idx="58">
                    <c:v>0.0005</c:v>
                  </c:pt>
                  <c:pt idx="59">
                    <c:v>0.0022</c:v>
                  </c:pt>
                  <c:pt idx="60">
                    <c:v>0.0013</c:v>
                  </c:pt>
                  <c:pt idx="61">
                    <c:v>0.001</c:v>
                  </c:pt>
                  <c:pt idx="62">
                    <c:v>0.0005</c:v>
                  </c:pt>
                  <c:pt idx="63">
                    <c:v>0.0022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  <c:pt idx="1000">
                    <c:v>NaN</c:v>
                  </c:pt>
                  <c:pt idx="1001">
                    <c:v>NaN</c:v>
                  </c:pt>
                  <c:pt idx="1002">
                    <c:v>NaN</c:v>
                  </c:pt>
                  <c:pt idx="1003">
                    <c:v>NaN</c:v>
                  </c:pt>
                  <c:pt idx="1004">
                    <c:v>NaN</c:v>
                  </c:pt>
                  <c:pt idx="1005">
                    <c:v>NaN</c:v>
                  </c:pt>
                  <c:pt idx="1006">
                    <c:v>NaN</c:v>
                  </c:pt>
                  <c:pt idx="1007">
                    <c:v>NaN</c:v>
                  </c:pt>
                  <c:pt idx="1008">
                    <c:v>NaN</c:v>
                  </c:pt>
                  <c:pt idx="1009">
                    <c:v>NaN</c:v>
                  </c:pt>
                  <c:pt idx="1010">
                    <c:v>NaN</c:v>
                  </c:pt>
                  <c:pt idx="1011">
                    <c:v>NaN</c:v>
                  </c:pt>
                  <c:pt idx="1012">
                    <c:v>NaN</c:v>
                  </c:pt>
                  <c:pt idx="1013">
                    <c:v>NaN</c:v>
                  </c:pt>
                  <c:pt idx="1014">
                    <c:v>NaN</c:v>
                  </c:pt>
                  <c:pt idx="101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Active!$F$21:$F$1017</c:f>
              <c:numCache/>
            </c:numRef>
          </c:xVal>
          <c:yVal>
            <c:numRef>
              <c:f>Active!$I$21:$I$1017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Active!$D$21:$D$65</c:f>
                <c:numCache>
                  <c:ptCount val="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0.0028</c:v>
                  </c:pt>
                  <c:pt idx="9">
                    <c:v>0.0042</c:v>
                  </c:pt>
                  <c:pt idx="10">
                    <c:v>0.0019</c:v>
                  </c:pt>
                  <c:pt idx="11">
                    <c:v>0.0056</c:v>
                  </c:pt>
                  <c:pt idx="12">
                    <c:v>0.0056</c:v>
                  </c:pt>
                  <c:pt idx="13">
                    <c:v>0.0029</c:v>
                  </c:pt>
                  <c:pt idx="14">
                    <c:v>0.0031</c:v>
                  </c:pt>
                  <c:pt idx="15">
                    <c:v>0.0055</c:v>
                  </c:pt>
                  <c:pt idx="16">
                    <c:v>0.0055</c:v>
                  </c:pt>
                  <c:pt idx="17">
                    <c:v>0.0027</c:v>
                  </c:pt>
                  <c:pt idx="18">
                    <c:v>0.0067</c:v>
                  </c:pt>
                  <c:pt idx="19">
                    <c:v>0.0067</c:v>
                  </c:pt>
                  <c:pt idx="20">
                    <c:v>0.0049</c:v>
                  </c:pt>
                  <c:pt idx="21">
                    <c:v>0.0049</c:v>
                  </c:pt>
                  <c:pt idx="22">
                    <c:v>0.0008</c:v>
                  </c:pt>
                  <c:pt idx="23">
                    <c:v>0.0042</c:v>
                  </c:pt>
                  <c:pt idx="24">
                    <c:v>0.0042</c:v>
                  </c:pt>
                  <c:pt idx="25">
                    <c:v>0.0034</c:v>
                  </c:pt>
                  <c:pt idx="26">
                    <c:v>0.0034</c:v>
                  </c:pt>
                  <c:pt idx="27">
                    <c:v>0.0016</c:v>
                  </c:pt>
                  <c:pt idx="28">
                    <c:v>0.0016</c:v>
                  </c:pt>
                  <c:pt idx="29">
                    <c:v>0.0028</c:v>
                  </c:pt>
                  <c:pt idx="30">
                    <c:v>0.0028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0.0006</c:v>
                  </c:pt>
                  <c:pt idx="37">
                    <c:v>0.0043</c:v>
                  </c:pt>
                  <c:pt idx="38">
                    <c:v>0.0043</c:v>
                  </c:pt>
                  <c:pt idx="39">
                    <c:v>0.0009</c:v>
                  </c:pt>
                  <c:pt idx="40">
                    <c:v>0.0003</c:v>
                  </c:pt>
                  <c:pt idx="41">
                    <c:v>0.0003</c:v>
                  </c:pt>
                  <c:pt idx="42">
                    <c:v>0.0002</c:v>
                  </c:pt>
                  <c:pt idx="43">
                    <c:v>0.0007</c:v>
                  </c:pt>
                  <c:pt idx="44">
                    <c:v>0.0001</c:v>
                  </c:pt>
                </c:numCache>
              </c:numRef>
            </c:plus>
            <c:minus>
              <c:numRef>
                <c:f>Active!$D$21:$D$65</c:f>
                <c:numCache>
                  <c:ptCount val="4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0.0028</c:v>
                  </c:pt>
                  <c:pt idx="9">
                    <c:v>0.0042</c:v>
                  </c:pt>
                  <c:pt idx="10">
                    <c:v>0.0019</c:v>
                  </c:pt>
                  <c:pt idx="11">
                    <c:v>0.0056</c:v>
                  </c:pt>
                  <c:pt idx="12">
                    <c:v>0.0056</c:v>
                  </c:pt>
                  <c:pt idx="13">
                    <c:v>0.0029</c:v>
                  </c:pt>
                  <c:pt idx="14">
                    <c:v>0.0031</c:v>
                  </c:pt>
                  <c:pt idx="15">
                    <c:v>0.0055</c:v>
                  </c:pt>
                  <c:pt idx="16">
                    <c:v>0.0055</c:v>
                  </c:pt>
                  <c:pt idx="17">
                    <c:v>0.0027</c:v>
                  </c:pt>
                  <c:pt idx="18">
                    <c:v>0.0067</c:v>
                  </c:pt>
                  <c:pt idx="19">
                    <c:v>0.0067</c:v>
                  </c:pt>
                  <c:pt idx="20">
                    <c:v>0.0049</c:v>
                  </c:pt>
                  <c:pt idx="21">
                    <c:v>0.0049</c:v>
                  </c:pt>
                  <c:pt idx="22">
                    <c:v>0.0008</c:v>
                  </c:pt>
                  <c:pt idx="23">
                    <c:v>0.0042</c:v>
                  </c:pt>
                  <c:pt idx="24">
                    <c:v>0.0042</c:v>
                  </c:pt>
                  <c:pt idx="25">
                    <c:v>0.0034</c:v>
                  </c:pt>
                  <c:pt idx="26">
                    <c:v>0.0034</c:v>
                  </c:pt>
                  <c:pt idx="27">
                    <c:v>0.0016</c:v>
                  </c:pt>
                  <c:pt idx="28">
                    <c:v>0.0016</c:v>
                  </c:pt>
                  <c:pt idx="29">
                    <c:v>0.0028</c:v>
                  </c:pt>
                  <c:pt idx="30">
                    <c:v>0.0028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0.0006</c:v>
                  </c:pt>
                  <c:pt idx="37">
                    <c:v>0.0043</c:v>
                  </c:pt>
                  <c:pt idx="38">
                    <c:v>0.0043</c:v>
                  </c:pt>
                  <c:pt idx="39">
                    <c:v>0.0009</c:v>
                  </c:pt>
                  <c:pt idx="40">
                    <c:v>0.0003</c:v>
                  </c:pt>
                  <c:pt idx="41">
                    <c:v>0.0003</c:v>
                  </c:pt>
                  <c:pt idx="42">
                    <c:v>0.0002</c:v>
                  </c:pt>
                  <c:pt idx="43">
                    <c:v>0.0007</c:v>
                  </c:pt>
                  <c:pt idx="44">
                    <c:v>0.0001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Active!$F$21:$F$1017</c:f>
              <c:numCache/>
            </c:numRef>
          </c:xVal>
          <c:yVal>
            <c:numRef>
              <c:f>Active!$J$21:$J$1017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Active!$K$21:$K$1017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Active!$L$21:$L$1017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Active!$M$21:$M$1017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Active!$F$21:$F$1017</c:f>
              <c:numCache/>
            </c:numRef>
          </c:xVal>
          <c:yVal>
            <c:numRef>
              <c:f>Active!$N$21:$N$1017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Active!$F$21:$F$1017</c:f>
              <c:numCache/>
            </c:numRef>
          </c:xVal>
          <c:yVal>
            <c:numRef>
              <c:f>Active!$O$21:$O$1017</c:f>
              <c:numCache/>
            </c:numRef>
          </c:yVal>
          <c:smooth val="0"/>
        </c:ser>
        <c:ser>
          <c:idx val="8"/>
          <c:order val="8"/>
          <c:tx>
            <c:strRef>
              <c:f>Active!$V$1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Active!$U$2:$U$1017</c:f>
              <c:numCache/>
            </c:numRef>
          </c:xVal>
          <c:yVal>
            <c:numRef>
              <c:f>Active!$V$2:$V$1017</c:f>
              <c:numCache/>
            </c:numRef>
          </c:yVal>
          <c:smooth val="0"/>
        </c:ser>
        <c:axId val="41595910"/>
        <c:axId val="38818871"/>
      </c:scatterChart>
      <c:val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8871"/>
        <c:crosses val="autoZero"/>
        <c:crossBetween val="midCat"/>
        <c:dispUnits/>
      </c:valAx>
      <c:valAx>
        <c:axId val="3881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9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5"/>
          <c:y val="0.93125"/>
          <c:w val="0.888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V719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75"/>
          <c:w val="0.9062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(old)'!$H$21:$H$999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(old)'!$D$21:$D$1077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0.0024</c:v>
                  </c:pt>
                  <c:pt idx="3">
                    <c:v>0.0028</c:v>
                  </c:pt>
                  <c:pt idx="4">
                    <c:v>0.0042</c:v>
                  </c:pt>
                  <c:pt idx="5">
                    <c:v>0.0056</c:v>
                  </c:pt>
                  <c:pt idx="6">
                    <c:v>0.0056</c:v>
                  </c:pt>
                  <c:pt idx="7">
                    <c:v>0.0029</c:v>
                  </c:pt>
                  <c:pt idx="8">
                    <c:v>0.0031</c:v>
                  </c:pt>
                  <c:pt idx="9">
                    <c:v>0.0055</c:v>
                  </c:pt>
                  <c:pt idx="10">
                    <c:v>0.0055</c:v>
                  </c:pt>
                  <c:pt idx="11">
                    <c:v>0.0027</c:v>
                  </c:pt>
                  <c:pt idx="12">
                    <c:v>0.0067</c:v>
                  </c:pt>
                  <c:pt idx="13">
                    <c:v>0.0067</c:v>
                  </c:pt>
                  <c:pt idx="14">
                    <c:v>0.0049</c:v>
                  </c:pt>
                  <c:pt idx="15">
                    <c:v>0.0049</c:v>
                  </c:pt>
                  <c:pt idx="16">
                    <c:v>0.0042</c:v>
                  </c:pt>
                  <c:pt idx="17">
                    <c:v>0.0042</c:v>
                  </c:pt>
                  <c:pt idx="18">
                    <c:v>0.0034</c:v>
                  </c:pt>
                  <c:pt idx="19">
                    <c:v>0.0034</c:v>
                  </c:pt>
                  <c:pt idx="20">
                    <c:v>0.0016</c:v>
                  </c:pt>
                  <c:pt idx="21">
                    <c:v>0.0016</c:v>
                  </c:pt>
                  <c:pt idx="22">
                    <c:v>0.0028</c:v>
                  </c:pt>
                  <c:pt idx="23">
                    <c:v>0.0028</c:v>
                  </c:pt>
                  <c:pt idx="24">
                    <c:v>0.0043</c:v>
                  </c:pt>
                  <c:pt idx="25">
                    <c:v>0.0043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'A (old)'!$D$21:$D$1077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0.0024</c:v>
                  </c:pt>
                  <c:pt idx="3">
                    <c:v>0.0028</c:v>
                  </c:pt>
                  <c:pt idx="4">
                    <c:v>0.0042</c:v>
                  </c:pt>
                  <c:pt idx="5">
                    <c:v>0.0056</c:v>
                  </c:pt>
                  <c:pt idx="6">
                    <c:v>0.0056</c:v>
                  </c:pt>
                  <c:pt idx="7">
                    <c:v>0.0029</c:v>
                  </c:pt>
                  <c:pt idx="8">
                    <c:v>0.0031</c:v>
                  </c:pt>
                  <c:pt idx="9">
                    <c:v>0.0055</c:v>
                  </c:pt>
                  <c:pt idx="10">
                    <c:v>0.0055</c:v>
                  </c:pt>
                  <c:pt idx="11">
                    <c:v>0.0027</c:v>
                  </c:pt>
                  <c:pt idx="12">
                    <c:v>0.0067</c:v>
                  </c:pt>
                  <c:pt idx="13">
                    <c:v>0.0067</c:v>
                  </c:pt>
                  <c:pt idx="14">
                    <c:v>0.0049</c:v>
                  </c:pt>
                  <c:pt idx="15">
                    <c:v>0.0049</c:v>
                  </c:pt>
                  <c:pt idx="16">
                    <c:v>0.0042</c:v>
                  </c:pt>
                  <c:pt idx="17">
                    <c:v>0.0042</c:v>
                  </c:pt>
                  <c:pt idx="18">
                    <c:v>0.0034</c:v>
                  </c:pt>
                  <c:pt idx="19">
                    <c:v>0.0034</c:v>
                  </c:pt>
                  <c:pt idx="20">
                    <c:v>0.0016</c:v>
                  </c:pt>
                  <c:pt idx="21">
                    <c:v>0.0016</c:v>
                  </c:pt>
                  <c:pt idx="22">
                    <c:v>0.0028</c:v>
                  </c:pt>
                  <c:pt idx="23">
                    <c:v>0.0028</c:v>
                  </c:pt>
                  <c:pt idx="24">
                    <c:v>0.0043</c:v>
                  </c:pt>
                  <c:pt idx="25">
                    <c:v>0.0043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(old)'!$F$21:$F$999</c:f>
              <c:numCache/>
            </c:numRef>
          </c:xVal>
          <c:yVal>
            <c:numRef>
              <c:f>'A (old)'!$I$21:$I$999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(old)'!$D$21:$D$50</c:f>
                <c:numCache>
                  <c:ptCount val="30"/>
                  <c:pt idx="0">
                    <c:v>0</c:v>
                  </c:pt>
                  <c:pt idx="1">
                    <c:v>0.0014</c:v>
                  </c:pt>
                  <c:pt idx="2">
                    <c:v>0.0024</c:v>
                  </c:pt>
                  <c:pt idx="3">
                    <c:v>0.0028</c:v>
                  </c:pt>
                  <c:pt idx="4">
                    <c:v>0.0042</c:v>
                  </c:pt>
                  <c:pt idx="5">
                    <c:v>0.0056</c:v>
                  </c:pt>
                  <c:pt idx="6">
                    <c:v>0.0056</c:v>
                  </c:pt>
                  <c:pt idx="7">
                    <c:v>0.0029</c:v>
                  </c:pt>
                  <c:pt idx="8">
                    <c:v>0.0031</c:v>
                  </c:pt>
                  <c:pt idx="9">
                    <c:v>0.0055</c:v>
                  </c:pt>
                  <c:pt idx="10">
                    <c:v>0.0055</c:v>
                  </c:pt>
                  <c:pt idx="11">
                    <c:v>0.0027</c:v>
                  </c:pt>
                  <c:pt idx="12">
                    <c:v>0.0067</c:v>
                  </c:pt>
                  <c:pt idx="13">
                    <c:v>0.0067</c:v>
                  </c:pt>
                  <c:pt idx="14">
                    <c:v>0.0049</c:v>
                  </c:pt>
                  <c:pt idx="15">
                    <c:v>0.0049</c:v>
                  </c:pt>
                  <c:pt idx="16">
                    <c:v>0.0042</c:v>
                  </c:pt>
                  <c:pt idx="17">
                    <c:v>0.0042</c:v>
                  </c:pt>
                  <c:pt idx="18">
                    <c:v>0.0034</c:v>
                  </c:pt>
                  <c:pt idx="19">
                    <c:v>0.0034</c:v>
                  </c:pt>
                  <c:pt idx="20">
                    <c:v>0.0016</c:v>
                  </c:pt>
                  <c:pt idx="21">
                    <c:v>0.0016</c:v>
                  </c:pt>
                  <c:pt idx="22">
                    <c:v>0.0028</c:v>
                  </c:pt>
                  <c:pt idx="23">
                    <c:v>0.0028</c:v>
                  </c:pt>
                  <c:pt idx="24">
                    <c:v>0.0043</c:v>
                  </c:pt>
                  <c:pt idx="25">
                    <c:v>0.0043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'A (old)'!$D$21:$D$50</c:f>
                <c:numCache>
                  <c:ptCount val="30"/>
                  <c:pt idx="0">
                    <c:v>0</c:v>
                  </c:pt>
                  <c:pt idx="1">
                    <c:v>0.0014</c:v>
                  </c:pt>
                  <c:pt idx="2">
                    <c:v>0.0024</c:v>
                  </c:pt>
                  <c:pt idx="3">
                    <c:v>0.0028</c:v>
                  </c:pt>
                  <c:pt idx="4">
                    <c:v>0.0042</c:v>
                  </c:pt>
                  <c:pt idx="5">
                    <c:v>0.0056</c:v>
                  </c:pt>
                  <c:pt idx="6">
                    <c:v>0.0056</c:v>
                  </c:pt>
                  <c:pt idx="7">
                    <c:v>0.0029</c:v>
                  </c:pt>
                  <c:pt idx="8">
                    <c:v>0.0031</c:v>
                  </c:pt>
                  <c:pt idx="9">
                    <c:v>0.0055</c:v>
                  </c:pt>
                  <c:pt idx="10">
                    <c:v>0.0055</c:v>
                  </c:pt>
                  <c:pt idx="11">
                    <c:v>0.0027</c:v>
                  </c:pt>
                  <c:pt idx="12">
                    <c:v>0.0067</c:v>
                  </c:pt>
                  <c:pt idx="13">
                    <c:v>0.0067</c:v>
                  </c:pt>
                  <c:pt idx="14">
                    <c:v>0.0049</c:v>
                  </c:pt>
                  <c:pt idx="15">
                    <c:v>0.0049</c:v>
                  </c:pt>
                  <c:pt idx="16">
                    <c:v>0.0042</c:v>
                  </c:pt>
                  <c:pt idx="17">
                    <c:v>0.0042</c:v>
                  </c:pt>
                  <c:pt idx="18">
                    <c:v>0.0034</c:v>
                  </c:pt>
                  <c:pt idx="19">
                    <c:v>0.0034</c:v>
                  </c:pt>
                  <c:pt idx="20">
                    <c:v>0.0016</c:v>
                  </c:pt>
                  <c:pt idx="21">
                    <c:v>0.0016</c:v>
                  </c:pt>
                  <c:pt idx="22">
                    <c:v>0.0028</c:v>
                  </c:pt>
                  <c:pt idx="23">
                    <c:v>0.0028</c:v>
                  </c:pt>
                  <c:pt idx="24">
                    <c:v>0.0043</c:v>
                  </c:pt>
                  <c:pt idx="25">
                    <c:v>0.0043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(old)'!$F$21:$F$999</c:f>
              <c:numCache/>
            </c:numRef>
          </c:xVal>
          <c:yVal>
            <c:numRef>
              <c:f>'A (old)'!$J$21:$J$999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(old)'!$K$21:$K$999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(old)'!$L$21:$L$999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(old)'!$M$21:$M$999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(old)'!$F$21:$F$999</c:f>
              <c:numCache/>
            </c:numRef>
          </c:xVal>
          <c:yVal>
            <c:numRef>
              <c:f>'A (old)'!$N$21:$N$999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(old)'!$F$21:$F$999</c:f>
              <c:numCache/>
            </c:numRef>
          </c:xVal>
          <c:yVal>
            <c:numRef>
              <c:f>'A (old)'!$O$21:$O$999</c:f>
              <c:numCache/>
            </c:numRef>
          </c:yVal>
          <c:smooth val="0"/>
        </c:ser>
        <c:axId val="13825520"/>
        <c:axId val="57320817"/>
      </c:scatterChart>
      <c:val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0817"/>
        <c:crosses val="autoZero"/>
        <c:crossBetween val="midCat"/>
        <c:dispUnits/>
      </c:valAx>
      <c:valAx>
        <c:axId val="5732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93025"/>
          <c:w val="0.73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V719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75"/>
          <c:w val="0.9062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B!$F$21:$F$999</c:f>
              <c:numCache/>
            </c:numRef>
          </c:xVal>
          <c:yVal>
            <c:numRef>
              <c:f>B!$H$21:$H$999</c:f>
              <c:numCache/>
            </c:numRef>
          </c:yVal>
          <c:smooth val="0"/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B!$D$21:$D$1077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0.0024</c:v>
                  </c:pt>
                  <c:pt idx="3">
                    <c:v>0.0028</c:v>
                  </c:pt>
                  <c:pt idx="4">
                    <c:v>0.0042</c:v>
                  </c:pt>
                  <c:pt idx="5">
                    <c:v>0.0056</c:v>
                  </c:pt>
                  <c:pt idx="6">
                    <c:v>0.0056</c:v>
                  </c:pt>
                  <c:pt idx="7">
                    <c:v>0.0029</c:v>
                  </c:pt>
                  <c:pt idx="8">
                    <c:v>0.0031</c:v>
                  </c:pt>
                  <c:pt idx="9">
                    <c:v>0.0055</c:v>
                  </c:pt>
                  <c:pt idx="10">
                    <c:v>0.0055</c:v>
                  </c:pt>
                  <c:pt idx="11">
                    <c:v>0.0027</c:v>
                  </c:pt>
                  <c:pt idx="12">
                    <c:v>0.0067</c:v>
                  </c:pt>
                  <c:pt idx="13">
                    <c:v>0.0067</c:v>
                  </c:pt>
                  <c:pt idx="14">
                    <c:v>0.0049</c:v>
                  </c:pt>
                  <c:pt idx="15">
                    <c:v>0.0049</c:v>
                  </c:pt>
                  <c:pt idx="16">
                    <c:v>0.0042</c:v>
                  </c:pt>
                  <c:pt idx="17">
                    <c:v>0.0042</c:v>
                  </c:pt>
                  <c:pt idx="18">
                    <c:v>0.0034</c:v>
                  </c:pt>
                  <c:pt idx="19">
                    <c:v>0.0034</c:v>
                  </c:pt>
                  <c:pt idx="20">
                    <c:v>0.0016</c:v>
                  </c:pt>
                  <c:pt idx="21">
                    <c:v>0.0016</c:v>
                  </c:pt>
                  <c:pt idx="22">
                    <c:v>0.0028</c:v>
                  </c:pt>
                  <c:pt idx="23">
                    <c:v>0.0028</c:v>
                  </c:pt>
                  <c:pt idx="24">
                    <c:v>0.0043</c:v>
                  </c:pt>
                  <c:pt idx="25">
                    <c:v>0.0043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B!$D$21:$D$1077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0.0024</c:v>
                  </c:pt>
                  <c:pt idx="3">
                    <c:v>0.0028</c:v>
                  </c:pt>
                  <c:pt idx="4">
                    <c:v>0.0042</c:v>
                  </c:pt>
                  <c:pt idx="5">
                    <c:v>0.0056</c:v>
                  </c:pt>
                  <c:pt idx="6">
                    <c:v>0.0056</c:v>
                  </c:pt>
                  <c:pt idx="7">
                    <c:v>0.0029</c:v>
                  </c:pt>
                  <c:pt idx="8">
                    <c:v>0.0031</c:v>
                  </c:pt>
                  <c:pt idx="9">
                    <c:v>0.0055</c:v>
                  </c:pt>
                  <c:pt idx="10">
                    <c:v>0.0055</c:v>
                  </c:pt>
                  <c:pt idx="11">
                    <c:v>0.0027</c:v>
                  </c:pt>
                  <c:pt idx="12">
                    <c:v>0.0067</c:v>
                  </c:pt>
                  <c:pt idx="13">
                    <c:v>0.0067</c:v>
                  </c:pt>
                  <c:pt idx="14">
                    <c:v>0.0049</c:v>
                  </c:pt>
                  <c:pt idx="15">
                    <c:v>0.0049</c:v>
                  </c:pt>
                  <c:pt idx="16">
                    <c:v>0.0042</c:v>
                  </c:pt>
                  <c:pt idx="17">
                    <c:v>0.0042</c:v>
                  </c:pt>
                  <c:pt idx="18">
                    <c:v>0.0034</c:v>
                  </c:pt>
                  <c:pt idx="19">
                    <c:v>0.0034</c:v>
                  </c:pt>
                  <c:pt idx="20">
                    <c:v>0.0016</c:v>
                  </c:pt>
                  <c:pt idx="21">
                    <c:v>0.0016</c:v>
                  </c:pt>
                  <c:pt idx="22">
                    <c:v>0.0028</c:v>
                  </c:pt>
                  <c:pt idx="23">
                    <c:v>0.0028</c:v>
                  </c:pt>
                  <c:pt idx="24">
                    <c:v>0.0043</c:v>
                  </c:pt>
                  <c:pt idx="25">
                    <c:v>0.0043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B!$F$21:$F$999</c:f>
              <c:numCache/>
            </c:numRef>
          </c:xVal>
          <c:yVal>
            <c:numRef>
              <c:f>B!$I$21:$I$999</c:f>
              <c:numCache/>
            </c:numRef>
          </c:yVal>
          <c:smooth val="0"/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B!$D$21:$D$50</c:f>
                <c:numCache>
                  <c:ptCount val="30"/>
                  <c:pt idx="0">
                    <c:v>0</c:v>
                  </c:pt>
                  <c:pt idx="1">
                    <c:v>0.0014</c:v>
                  </c:pt>
                  <c:pt idx="2">
                    <c:v>0.0024</c:v>
                  </c:pt>
                  <c:pt idx="3">
                    <c:v>0.0028</c:v>
                  </c:pt>
                  <c:pt idx="4">
                    <c:v>0.0042</c:v>
                  </c:pt>
                  <c:pt idx="5">
                    <c:v>0.0056</c:v>
                  </c:pt>
                  <c:pt idx="6">
                    <c:v>0.0056</c:v>
                  </c:pt>
                  <c:pt idx="7">
                    <c:v>0.0029</c:v>
                  </c:pt>
                  <c:pt idx="8">
                    <c:v>0.0031</c:v>
                  </c:pt>
                  <c:pt idx="9">
                    <c:v>0.0055</c:v>
                  </c:pt>
                  <c:pt idx="10">
                    <c:v>0.0055</c:v>
                  </c:pt>
                  <c:pt idx="11">
                    <c:v>0.0027</c:v>
                  </c:pt>
                  <c:pt idx="12">
                    <c:v>0.0067</c:v>
                  </c:pt>
                  <c:pt idx="13">
                    <c:v>0.0067</c:v>
                  </c:pt>
                  <c:pt idx="14">
                    <c:v>0.0049</c:v>
                  </c:pt>
                  <c:pt idx="15">
                    <c:v>0.0049</c:v>
                  </c:pt>
                  <c:pt idx="16">
                    <c:v>0.0042</c:v>
                  </c:pt>
                  <c:pt idx="17">
                    <c:v>0.0042</c:v>
                  </c:pt>
                  <c:pt idx="18">
                    <c:v>0.0034</c:v>
                  </c:pt>
                  <c:pt idx="19">
                    <c:v>0.0034</c:v>
                  </c:pt>
                  <c:pt idx="20">
                    <c:v>0.0016</c:v>
                  </c:pt>
                  <c:pt idx="21">
                    <c:v>0.0016</c:v>
                  </c:pt>
                  <c:pt idx="22">
                    <c:v>0.0028</c:v>
                  </c:pt>
                  <c:pt idx="23">
                    <c:v>0.0028</c:v>
                  </c:pt>
                  <c:pt idx="24">
                    <c:v>0.0043</c:v>
                  </c:pt>
                  <c:pt idx="25">
                    <c:v>0.0043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plus>
            <c:minus>
              <c:numRef>
                <c:f>B!$D$21:$D$50</c:f>
                <c:numCache>
                  <c:ptCount val="30"/>
                  <c:pt idx="0">
                    <c:v>0</c:v>
                  </c:pt>
                  <c:pt idx="1">
                    <c:v>0.0014</c:v>
                  </c:pt>
                  <c:pt idx="2">
                    <c:v>0.0024</c:v>
                  </c:pt>
                  <c:pt idx="3">
                    <c:v>0.0028</c:v>
                  </c:pt>
                  <c:pt idx="4">
                    <c:v>0.0042</c:v>
                  </c:pt>
                  <c:pt idx="5">
                    <c:v>0.0056</c:v>
                  </c:pt>
                  <c:pt idx="6">
                    <c:v>0.0056</c:v>
                  </c:pt>
                  <c:pt idx="7">
                    <c:v>0.0029</c:v>
                  </c:pt>
                  <c:pt idx="8">
                    <c:v>0.0031</c:v>
                  </c:pt>
                  <c:pt idx="9">
                    <c:v>0.0055</c:v>
                  </c:pt>
                  <c:pt idx="10">
                    <c:v>0.0055</c:v>
                  </c:pt>
                  <c:pt idx="11">
                    <c:v>0.0027</c:v>
                  </c:pt>
                  <c:pt idx="12">
                    <c:v>0.0067</c:v>
                  </c:pt>
                  <c:pt idx="13">
                    <c:v>0.0067</c:v>
                  </c:pt>
                  <c:pt idx="14">
                    <c:v>0.0049</c:v>
                  </c:pt>
                  <c:pt idx="15">
                    <c:v>0.0049</c:v>
                  </c:pt>
                  <c:pt idx="16">
                    <c:v>0.0042</c:v>
                  </c:pt>
                  <c:pt idx="17">
                    <c:v>0.0042</c:v>
                  </c:pt>
                  <c:pt idx="18">
                    <c:v>0.0034</c:v>
                  </c:pt>
                  <c:pt idx="19">
                    <c:v>0.0034</c:v>
                  </c:pt>
                  <c:pt idx="20">
                    <c:v>0.0016</c:v>
                  </c:pt>
                  <c:pt idx="21">
                    <c:v>0.0016</c:v>
                  </c:pt>
                  <c:pt idx="22">
                    <c:v>0.0028</c:v>
                  </c:pt>
                  <c:pt idx="23">
                    <c:v>0.0028</c:v>
                  </c:pt>
                  <c:pt idx="24">
                    <c:v>0.0043</c:v>
                  </c:pt>
                  <c:pt idx="25">
                    <c:v>0.0043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B!$F$21:$F$999</c:f>
              <c:numCache/>
            </c:numRef>
          </c:xVal>
          <c:yVal>
            <c:numRef>
              <c:f>B!$J$21:$J$999</c:f>
              <c:numCache/>
            </c:numRef>
          </c:yVal>
          <c:smooth val="0"/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B!$F$21:$F$999</c:f>
              <c:numCache/>
            </c:numRef>
          </c:xVal>
          <c:yVal>
            <c:numRef>
              <c:f>B!$K$21:$K$999</c:f>
              <c:numCache/>
            </c:numRef>
          </c:yVal>
          <c:smooth val="0"/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B!$F$21:$F$999</c:f>
              <c:numCache/>
            </c:numRef>
          </c:xVal>
          <c:yVal>
            <c:numRef>
              <c:f>B!$L$21:$L$999</c:f>
              <c:numCache/>
            </c:numRef>
          </c:yVal>
          <c:smooth val="0"/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B!$F$21:$F$999</c:f>
              <c:numCache/>
            </c:numRef>
          </c:xVal>
          <c:yVal>
            <c:numRef>
              <c:f>B!$M$21:$M$999</c:f>
              <c:numCache/>
            </c:numRef>
          </c:yVal>
          <c:smooth val="0"/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B!$F$21:$F$999</c:f>
              <c:numCache/>
            </c:numRef>
          </c:xVal>
          <c:yVal>
            <c:numRef>
              <c:f>B!$N$21:$N$999</c:f>
              <c:numCache/>
            </c:numRef>
          </c:yVal>
          <c:smooth val="0"/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B!$F$21:$F$999</c:f>
              <c:numCache/>
            </c:numRef>
          </c:xVal>
          <c:yVal>
            <c:numRef>
              <c:f>B!$O$21:$O$999</c:f>
              <c:numCache/>
            </c:numRef>
          </c:yVal>
          <c:smooth val="0"/>
        </c:ser>
        <c:axId val="46125306"/>
        <c:axId val="12474571"/>
      </c:scatterChart>
      <c:val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crossBetween val="midCat"/>
        <c:dispUnits/>
      </c:valAx>
      <c:valAx>
        <c:axId val="12474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3025"/>
          <c:w val="0.73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66675</xdr:rowOff>
    </xdr:from>
    <xdr:to>
      <xdr:col>17</xdr:col>
      <xdr:colOff>666750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5467350" y="66675"/>
        <a:ext cx="60864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619125</xdr:colOff>
      <xdr:row>0</xdr:row>
      <xdr:rowOff>0</xdr:rowOff>
    </xdr:from>
    <xdr:to>
      <xdr:col>27</xdr:col>
      <xdr:colOff>352425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21920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38100</xdr:rowOff>
    </xdr:from>
    <xdr:to>
      <xdr:col>15</xdr:col>
      <xdr:colOff>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124200" y="38100"/>
        <a:ext cx="5895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38100</xdr:rowOff>
    </xdr:from>
    <xdr:to>
      <xdr:col>15</xdr:col>
      <xdr:colOff>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124200" y="38100"/>
        <a:ext cx="5895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4888" TargetMode="External" /><Relationship Id="rId4" Type="http://schemas.openxmlformats.org/officeDocument/2006/relationships/hyperlink" Target="http://www.konkoly.hu/cgi-bin/IBVS?5263" TargetMode="External" /><Relationship Id="rId5" Type="http://schemas.openxmlformats.org/officeDocument/2006/relationships/hyperlink" Target="http://www.konkoly.hu/cgi-bin/IBVS?5263" TargetMode="External" /><Relationship Id="rId6" Type="http://schemas.openxmlformats.org/officeDocument/2006/relationships/hyperlink" Target="http://www.konkoly.hu/cgi-bin/IBVS?5027" TargetMode="External" /><Relationship Id="rId7" Type="http://schemas.openxmlformats.org/officeDocument/2006/relationships/hyperlink" Target="http://www.konkoly.hu/cgi-bin/IBVS?5583" TargetMode="External" /><Relationship Id="rId8" Type="http://schemas.openxmlformats.org/officeDocument/2006/relationships/hyperlink" Target="http://www.konkoly.hu/cgi-bin/IBVS?5287" TargetMode="External" /><Relationship Id="rId9" Type="http://schemas.openxmlformats.org/officeDocument/2006/relationships/hyperlink" Target="http://www.konkoly.hu/cgi-bin/IBVS?5287" TargetMode="External" /><Relationship Id="rId10" Type="http://schemas.openxmlformats.org/officeDocument/2006/relationships/hyperlink" Target="http://www.konkoly.hu/cgi-bin/IBVS?5583" TargetMode="External" /><Relationship Id="rId11" Type="http://schemas.openxmlformats.org/officeDocument/2006/relationships/hyperlink" Target="http://www.konkoly.hu/cgi-bin/IBVS?5287" TargetMode="External" /><Relationship Id="rId12" Type="http://schemas.openxmlformats.org/officeDocument/2006/relationships/hyperlink" Target="http://www.konkoly.hu/cgi-bin/IBVS?5583" TargetMode="External" /><Relationship Id="rId13" Type="http://schemas.openxmlformats.org/officeDocument/2006/relationships/hyperlink" Target="http://www.konkoly.hu/cgi-bin/IBVS?5583" TargetMode="External" /><Relationship Id="rId14" Type="http://schemas.openxmlformats.org/officeDocument/2006/relationships/hyperlink" Target="http://var.astro.cz/oejv/issues/oejv0074.pdf" TargetMode="External" /><Relationship Id="rId15" Type="http://schemas.openxmlformats.org/officeDocument/2006/relationships/hyperlink" Target="http://www.konkoly.hu/cgi-bin/IBVS?5583" TargetMode="External" /><Relationship Id="rId16" Type="http://schemas.openxmlformats.org/officeDocument/2006/relationships/hyperlink" Target="http://www.konkoly.hu/cgi-bin/IBVS?5583" TargetMode="External" /><Relationship Id="rId17" Type="http://schemas.openxmlformats.org/officeDocument/2006/relationships/hyperlink" Target="http://www.konkoly.hu/cgi-bin/IBVS?5583" TargetMode="External" /><Relationship Id="rId18" Type="http://schemas.openxmlformats.org/officeDocument/2006/relationships/hyperlink" Target="http://www.konkoly.hu/cgi-bin/IBVS?5583" TargetMode="External" /><Relationship Id="rId19" Type="http://schemas.openxmlformats.org/officeDocument/2006/relationships/hyperlink" Target="http://var.astro.cz/oejv/issues/oejv0074.pdf" TargetMode="External" /><Relationship Id="rId20" Type="http://schemas.openxmlformats.org/officeDocument/2006/relationships/hyperlink" Target="http://var.astro.cz/oejv/issues/oejv0074.pdf" TargetMode="External" /><Relationship Id="rId21" Type="http://schemas.openxmlformats.org/officeDocument/2006/relationships/hyperlink" Target="http://var.astro.cz/oejv/issues/oejv0074.pdf" TargetMode="External" /><Relationship Id="rId22" Type="http://schemas.openxmlformats.org/officeDocument/2006/relationships/hyperlink" Target="http://var.astro.cz/oejv/issues/oejv0074.pdf" TargetMode="External" /><Relationship Id="rId23" Type="http://schemas.openxmlformats.org/officeDocument/2006/relationships/hyperlink" Target="http://var.astro.cz/oejv/issues/oejv0074.pdf" TargetMode="External" /><Relationship Id="rId24" Type="http://schemas.openxmlformats.org/officeDocument/2006/relationships/hyperlink" Target="http://www.bav-astro.de/sfs/BAVM_link.php?BAVMnr=173" TargetMode="External" /><Relationship Id="rId25" Type="http://schemas.openxmlformats.org/officeDocument/2006/relationships/hyperlink" Target="http://www.konkoly.hu/cgi-bin/IBVS?5583" TargetMode="External" /><Relationship Id="rId26" Type="http://schemas.openxmlformats.org/officeDocument/2006/relationships/hyperlink" Target="http://www.bav-astro.de/sfs/BAVM_link.php?BAVMnr=173" TargetMode="External" /><Relationship Id="rId27" Type="http://schemas.openxmlformats.org/officeDocument/2006/relationships/hyperlink" Target="http://www.bav-astro.de/sfs/BAVM_link.php?BAVMnr=173" TargetMode="External" /><Relationship Id="rId28" Type="http://schemas.openxmlformats.org/officeDocument/2006/relationships/hyperlink" Target="http://www.bav-astro.de/sfs/BAVM_link.php?BAVMnr=173" TargetMode="External" /><Relationship Id="rId29" Type="http://schemas.openxmlformats.org/officeDocument/2006/relationships/hyperlink" Target="http://www.bav-astro.de/sfs/BAVM_link.php?BAVMnr=173" TargetMode="External" /><Relationship Id="rId30" Type="http://schemas.openxmlformats.org/officeDocument/2006/relationships/hyperlink" Target="http://www.bav-astro.de/sfs/BAVM_link.php?BAVMnr=173" TargetMode="External" /><Relationship Id="rId31" Type="http://schemas.openxmlformats.org/officeDocument/2006/relationships/hyperlink" Target="http://www.konkoly.hu/cgi-bin/IBVS?5760" TargetMode="External" /><Relationship Id="rId32" Type="http://schemas.openxmlformats.org/officeDocument/2006/relationships/hyperlink" Target="http://www.bav-astro.de/sfs/BAVM_link.php?BAVMnr=178" TargetMode="External" /><Relationship Id="rId33" Type="http://schemas.openxmlformats.org/officeDocument/2006/relationships/hyperlink" Target="http://www.bav-astro.de/sfs/BAVM_link.php?BAVMnr=201" TargetMode="External" /><Relationship Id="rId34" Type="http://schemas.openxmlformats.org/officeDocument/2006/relationships/hyperlink" Target="http://www.bav-astro.de/sfs/BAVM_link.php?BAVMnr=201" TargetMode="External" /><Relationship Id="rId35" Type="http://schemas.openxmlformats.org/officeDocument/2006/relationships/hyperlink" Target="http://www.konkoly.hu/cgi-bin/IBVS?5820" TargetMode="External" /><Relationship Id="rId36" Type="http://schemas.openxmlformats.org/officeDocument/2006/relationships/hyperlink" Target="http://www.bav-astro.de/sfs/BAVM_link.php?BAVMnr=186" TargetMode="External" /><Relationship Id="rId37" Type="http://schemas.openxmlformats.org/officeDocument/2006/relationships/hyperlink" Target="http://www.bav-astro.de/sfs/BAVM_link.php?BAVMnr=201" TargetMode="External" /><Relationship Id="rId38" Type="http://schemas.openxmlformats.org/officeDocument/2006/relationships/hyperlink" Target="http://www.bav-astro.de/sfs/BAVM_link.php?BAVMnr=209" TargetMode="External" /><Relationship Id="rId39" Type="http://schemas.openxmlformats.org/officeDocument/2006/relationships/hyperlink" Target="http://www.bav-astro.de/sfs/BAVM_link.php?BAVMnr=212" TargetMode="External" /><Relationship Id="rId40" Type="http://schemas.openxmlformats.org/officeDocument/2006/relationships/hyperlink" Target="http://www.bav-astro.de/sfs/BAVM_link.php?BAVMnr=209" TargetMode="External" /><Relationship Id="rId41" Type="http://schemas.openxmlformats.org/officeDocument/2006/relationships/hyperlink" Target="http://www.bav-astro.de/sfs/BAVM_link.php?BAVMnr=209" TargetMode="External" /><Relationship Id="rId42" Type="http://schemas.openxmlformats.org/officeDocument/2006/relationships/hyperlink" Target="http://www.bav-astro.de/sfs/BAVM_link.php?BAVMnr=214" TargetMode="External" /><Relationship Id="rId43" Type="http://schemas.openxmlformats.org/officeDocument/2006/relationships/hyperlink" Target="http://www.bav-astro.de/sfs/BAVM_link.php?BAVMnr=214" TargetMode="External" /><Relationship Id="rId44" Type="http://schemas.openxmlformats.org/officeDocument/2006/relationships/hyperlink" Target="http://www.konkoly.hu/cgi-bin/IBVS?5945" TargetMode="External" /><Relationship Id="rId45" Type="http://schemas.openxmlformats.org/officeDocument/2006/relationships/hyperlink" Target="http://www.bav-astro.de/sfs/BAVM_link.php?BAVMnr=214" TargetMode="External" /><Relationship Id="rId46" Type="http://schemas.openxmlformats.org/officeDocument/2006/relationships/hyperlink" Target="http://www.bav-astro.de/sfs/BAVM_link.php?BAVMnr=214" TargetMode="External" /><Relationship Id="rId47" Type="http://schemas.openxmlformats.org/officeDocument/2006/relationships/hyperlink" Target="http://www.bav-astro.de/sfs/BAVM_link.php?BAVMnr=215" TargetMode="External" /><Relationship Id="rId48" Type="http://schemas.openxmlformats.org/officeDocument/2006/relationships/hyperlink" Target="http://www.konkoly.hu/cgi-bin/IBVS?5992" TargetMode="External" /><Relationship Id="rId49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98"/>
  <sheetViews>
    <sheetView tabSelected="1" zoomScalePageLayoutView="0" workbookViewId="0" topLeftCell="A1">
      <pane xSplit="14" ySplit="21" topLeftCell="O68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G15" sqref="G1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2.00390625" style="0" bestFit="1" customWidth="1"/>
    <col min="7" max="7" width="15.710937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2" ht="21" thickBot="1">
      <c r="A1" s="1" t="s">
        <v>70</v>
      </c>
      <c r="U1" s="7" t="s">
        <v>10</v>
      </c>
      <c r="V1" s="9" t="s">
        <v>23</v>
      </c>
    </row>
    <row r="2" spans="1:22" ht="12.75">
      <c r="A2" t="s">
        <v>26</v>
      </c>
      <c r="B2" t="s">
        <v>45</v>
      </c>
      <c r="C2" t="s">
        <v>46</v>
      </c>
      <c r="U2">
        <v>0</v>
      </c>
      <c r="V2">
        <f aca="true" t="shared" si="0" ref="V2:V18">+D$11+D$12*U2+D$13*U2^2</f>
        <v>1.3623088388141758E-09</v>
      </c>
    </row>
    <row r="3" spans="6:22" ht="13.5" thickBot="1">
      <c r="F3" s="78" t="s">
        <v>310</v>
      </c>
      <c r="G3" s="79">
        <v>1</v>
      </c>
      <c r="U3">
        <v>2000</v>
      </c>
      <c r="V3">
        <f t="shared" si="0"/>
        <v>0.00922461148656453</v>
      </c>
    </row>
    <row r="4" spans="1:22" ht="13.5" thickBot="1">
      <c r="A4" s="8" t="s">
        <v>0</v>
      </c>
      <c r="C4" s="11">
        <v>41598.278</v>
      </c>
      <c r="D4" s="21">
        <v>0.33587</v>
      </c>
      <c r="F4" s="78" t="s">
        <v>311</v>
      </c>
      <c r="G4" s="80">
        <f ca="1">NOW()+15018.5+$C$5/24</f>
        <v>59900.82308692129</v>
      </c>
      <c r="U4">
        <v>4000</v>
      </c>
      <c r="V4">
        <f t="shared" si="0"/>
        <v>0.017175947109128148</v>
      </c>
    </row>
    <row r="5" spans="1:22" ht="12.75">
      <c r="A5" s="3" t="s">
        <v>316</v>
      </c>
      <c r="C5" s="84">
        <v>-9.5</v>
      </c>
      <c r="F5" s="78" t="s">
        <v>312</v>
      </c>
      <c r="G5" s="81">
        <f>ROUND(2*(G4-$C$7)/$C$8,0)/2+G3</f>
        <v>45651.5</v>
      </c>
      <c r="U5">
        <v>6000</v>
      </c>
      <c r="V5">
        <f t="shared" si="0"/>
        <v>0.02385400822999969</v>
      </c>
    </row>
    <row r="6" spans="1:22" ht="12.75">
      <c r="A6" s="8" t="s">
        <v>1</v>
      </c>
      <c r="C6" s="24">
        <v>0.400983</v>
      </c>
      <c r="D6" s="24" t="s">
        <v>42</v>
      </c>
      <c r="F6" s="78" t="s">
        <v>313</v>
      </c>
      <c r="G6" s="33">
        <f>ROUND(2*(G4-$C$15)/$C$16,0)/2+G3</f>
        <v>9400.5</v>
      </c>
      <c r="U6">
        <v>8000</v>
      </c>
      <c r="V6">
        <f t="shared" si="0"/>
        <v>0.029258794849179162</v>
      </c>
    </row>
    <row r="7" spans="1:22" ht="12.75">
      <c r="A7" t="s">
        <v>2</v>
      </c>
      <c r="C7">
        <f>+C4</f>
        <v>41598.278</v>
      </c>
      <c r="F7" s="78" t="s">
        <v>314</v>
      </c>
      <c r="G7" s="82">
        <f>+$C$15+$C$16*G6-15018.5-$C$5/24</f>
        <v>44883.10049747324</v>
      </c>
      <c r="U7">
        <v>10000</v>
      </c>
      <c r="V7">
        <f t="shared" si="0"/>
        <v>0.03339030696666655</v>
      </c>
    </row>
    <row r="8" spans="1:22" ht="12.75">
      <c r="A8" t="s">
        <v>3</v>
      </c>
      <c r="C8">
        <v>0.4009286137926109</v>
      </c>
      <c r="G8" s="83" t="s">
        <v>315</v>
      </c>
      <c r="U8">
        <v>12000</v>
      </c>
      <c r="V8">
        <f t="shared" si="0"/>
        <v>0.036248544582461864</v>
      </c>
    </row>
    <row r="9" spans="1:22" ht="12.75">
      <c r="A9" s="34" t="s">
        <v>63</v>
      </c>
      <c r="B9" s="34"/>
      <c r="C9" s="34">
        <v>46</v>
      </c>
      <c r="D9" s="34" t="str">
        <f>"F"&amp;C9</f>
        <v>F46</v>
      </c>
      <c r="E9" s="34" t="str">
        <f>"G"&amp;C9</f>
        <v>G46</v>
      </c>
      <c r="U9">
        <v>14000</v>
      </c>
      <c r="V9">
        <f t="shared" si="0"/>
        <v>0.03783350769656511</v>
      </c>
    </row>
    <row r="10" spans="3:22" ht="13.5" thickBot="1">
      <c r="C10" s="7" t="s">
        <v>21</v>
      </c>
      <c r="D10" s="7" t="s">
        <v>22</v>
      </c>
      <c r="U10">
        <v>16000</v>
      </c>
      <c r="V10">
        <f t="shared" si="0"/>
        <v>0.038145196308976274</v>
      </c>
    </row>
    <row r="11" spans="1:22" ht="12.75">
      <c r="A11" t="s">
        <v>16</v>
      </c>
      <c r="C11" s="35">
        <f ca="1">INTERCEPT(INDIRECT(E9):G1002,INDIRECT(D9):$F1002)</f>
        <v>0.13862118498354933</v>
      </c>
      <c r="D11" s="6">
        <f>+E11*F11</f>
        <v>1.3623088388141758E-09</v>
      </c>
      <c r="E11" s="27">
        <v>1.3623088388141757</v>
      </c>
      <c r="F11">
        <v>1E-09</v>
      </c>
      <c r="U11">
        <v>18000</v>
      </c>
      <c r="V11">
        <f t="shared" si="0"/>
        <v>0.037183610419695375</v>
      </c>
    </row>
    <row r="12" spans="1:22" ht="12.75">
      <c r="A12" t="s">
        <v>17</v>
      </c>
      <c r="C12" s="35">
        <f ca="1">SLOPE(INDIRECT(E9):G1002,INDIRECT(D9):$F1002)</f>
        <v>-4.481114496773673E-06</v>
      </c>
      <c r="D12" s="6">
        <f>+E12*F12</f>
        <v>4.930623687550864E-06</v>
      </c>
      <c r="E12" s="28">
        <v>4930.623687550864</v>
      </c>
      <c r="F12">
        <v>1E-09</v>
      </c>
      <c r="U12">
        <v>20000</v>
      </c>
      <c r="V12">
        <f t="shared" si="0"/>
        <v>0.034948750028722386</v>
      </c>
    </row>
    <row r="13" spans="1:22" ht="13.5" thickBot="1">
      <c r="A13" t="s">
        <v>20</v>
      </c>
      <c r="C13" s="6" t="s">
        <v>14</v>
      </c>
      <c r="D13" s="6">
        <f>+E13*F13</f>
        <v>-1.5915931271150934E-10</v>
      </c>
      <c r="E13" s="29">
        <v>-0.15915931271150932</v>
      </c>
      <c r="F13">
        <v>1E-09</v>
      </c>
      <c r="U13">
        <v>22000</v>
      </c>
      <c r="V13">
        <f t="shared" si="0"/>
        <v>0.03144061513605732</v>
      </c>
    </row>
    <row r="14" spans="1:22" ht="12.75">
      <c r="A14" t="s">
        <v>25</v>
      </c>
      <c r="E14">
        <f>SUM(T45:T282)</f>
        <v>32.668522473368384</v>
      </c>
      <c r="U14">
        <v>24000</v>
      </c>
      <c r="V14">
        <f t="shared" si="0"/>
        <v>0.026659205741700193</v>
      </c>
    </row>
    <row r="15" spans="1:22" ht="12.75">
      <c r="A15" s="3" t="s">
        <v>18</v>
      </c>
      <c r="C15" s="31">
        <f>(C7+C11)+(C8+C12)*INT(MAX(F21:F3528))</f>
        <v>56132.31735489929</v>
      </c>
      <c r="D15" s="33">
        <f>+C7+INT(MAX(F21:F1583))*C8+D11+D12*INT(MAX(F21:F4018))+D13*INT(MAX(F21:F4045)^2)</f>
        <v>56132.31075604334</v>
      </c>
      <c r="U15">
        <v>26000</v>
      </c>
      <c r="V15">
        <f t="shared" si="0"/>
        <v>0.020604521845650994</v>
      </c>
    </row>
    <row r="16" spans="1:22" ht="12.75">
      <c r="A16" s="8" t="s">
        <v>4</v>
      </c>
      <c r="C16" s="32">
        <f>+C8+C12</f>
        <v>0.40092413267811416</v>
      </c>
      <c r="D16" s="33">
        <f>+C8+D12+2*D13*F85</f>
        <v>0.40093354441629847</v>
      </c>
      <c r="U16">
        <v>28000</v>
      </c>
      <c r="V16">
        <f t="shared" si="0"/>
        <v>0.013276563447909728</v>
      </c>
    </row>
    <row r="17" spans="1:22" ht="13.5" thickBot="1">
      <c r="A17" s="35" t="s">
        <v>51</v>
      </c>
      <c r="C17">
        <f>COUNT(C21:C2186)</f>
        <v>64</v>
      </c>
      <c r="U17">
        <v>30000</v>
      </c>
      <c r="V17">
        <f t="shared" si="0"/>
        <v>0.004675330548476353</v>
      </c>
    </row>
    <row r="18" spans="1:22" ht="14.25" thickBot="1" thickTop="1">
      <c r="A18" s="8" t="s">
        <v>5</v>
      </c>
      <c r="C18" s="52">
        <f>+C15</f>
        <v>56132.31735489929</v>
      </c>
      <c r="D18" s="53">
        <f>C16</f>
        <v>0.40092413267811416</v>
      </c>
      <c r="E18" s="34" t="s">
        <v>21</v>
      </c>
      <c r="U18">
        <v>32000</v>
      </c>
      <c r="V18">
        <f t="shared" si="0"/>
        <v>-0.005199176852649062</v>
      </c>
    </row>
    <row r="19" spans="1:5" ht="13.5" thickBot="1">
      <c r="A19" s="8" t="s">
        <v>49</v>
      </c>
      <c r="C19" s="54">
        <f>+D15</f>
        <v>56132.31075604334</v>
      </c>
      <c r="D19" s="55">
        <f>+D16</f>
        <v>0.40093354441629847</v>
      </c>
      <c r="E19" s="56" t="s">
        <v>50</v>
      </c>
    </row>
    <row r="20" spans="1:19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38</v>
      </c>
      <c r="J20" s="10" t="s">
        <v>44</v>
      </c>
      <c r="K20" s="10" t="s">
        <v>62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  <c r="S20" s="30" t="s">
        <v>47</v>
      </c>
    </row>
    <row r="21" spans="1:17" ht="12.75">
      <c r="A21" t="s">
        <v>12</v>
      </c>
      <c r="C21" s="36">
        <f>+C4</f>
        <v>41598.278</v>
      </c>
      <c r="D21" s="36" t="s">
        <v>14</v>
      </c>
      <c r="E21">
        <f aca="true" t="shared" si="1" ref="E21:E52">+(C21-C$7)/C$8</f>
        <v>0</v>
      </c>
      <c r="F21">
        <f aca="true" t="shared" si="2" ref="F21:F52">ROUND(2*E21,0)/2</f>
        <v>0</v>
      </c>
      <c r="G21">
        <f aca="true" t="shared" si="3" ref="G21:G52">+C21-(C$7+F21*C$8)</f>
        <v>0</v>
      </c>
      <c r="H21">
        <f>+G21</f>
        <v>0</v>
      </c>
      <c r="P21">
        <f aca="true" t="shared" si="4" ref="P21:P52">+D$11+D$12*F21+D$13*F21^2</f>
        <v>1.3623088388141758E-09</v>
      </c>
      <c r="Q21" s="2">
        <f aca="true" t="shared" si="5" ref="Q21:Q52">+C21-15018.5</f>
        <v>26579.778</v>
      </c>
    </row>
    <row r="22" spans="1:17" ht="12.75">
      <c r="A22" s="76" t="s">
        <v>86</v>
      </c>
      <c r="B22" s="77" t="s">
        <v>37</v>
      </c>
      <c r="C22" s="76">
        <v>50278.4184</v>
      </c>
      <c r="D22" s="76" t="s">
        <v>61</v>
      </c>
      <c r="E22" s="39">
        <f t="shared" si="1"/>
        <v>21650.089570533863</v>
      </c>
      <c r="F22" s="39">
        <f t="shared" si="2"/>
        <v>21650</v>
      </c>
      <c r="G22">
        <f t="shared" si="3"/>
        <v>0.03591138997580856</v>
      </c>
      <c r="N22">
        <f>+G22</f>
        <v>0.03591138997580856</v>
      </c>
      <c r="O22">
        <f>+C$11+C$12*$F22</f>
        <v>0.041605056128399306</v>
      </c>
      <c r="P22">
        <f t="shared" si="4"/>
        <v>0.03214645324536461</v>
      </c>
      <c r="Q22" s="2">
        <f t="shared" si="5"/>
        <v>35259.9184</v>
      </c>
    </row>
    <row r="23" spans="1:17" ht="12.75">
      <c r="A23" s="76" t="s">
        <v>86</v>
      </c>
      <c r="B23" s="77" t="s">
        <v>37</v>
      </c>
      <c r="C23" s="76">
        <v>50278.4219</v>
      </c>
      <c r="D23" s="76" t="s">
        <v>61</v>
      </c>
      <c r="E23" s="39">
        <f t="shared" si="1"/>
        <v>21650.09830026748</v>
      </c>
      <c r="F23" s="39">
        <f t="shared" si="2"/>
        <v>21650</v>
      </c>
      <c r="G23">
        <f t="shared" si="3"/>
        <v>0.039411389974702615</v>
      </c>
      <c r="N23">
        <f>+G23</f>
        <v>0.039411389974702615</v>
      </c>
      <c r="O23">
        <f>+C$11+C$12*$F23</f>
        <v>0.041605056128399306</v>
      </c>
      <c r="P23">
        <f t="shared" si="4"/>
        <v>0.03214645324536461</v>
      </c>
      <c r="Q23" s="2">
        <f t="shared" si="5"/>
        <v>35259.9219</v>
      </c>
    </row>
    <row r="24" spans="1:17" ht="12.75">
      <c r="A24" s="76" t="s">
        <v>86</v>
      </c>
      <c r="B24" s="77" t="s">
        <v>37</v>
      </c>
      <c r="C24" s="76">
        <v>50278.4226</v>
      </c>
      <c r="D24" s="76" t="s">
        <v>61</v>
      </c>
      <c r="E24" s="39">
        <f t="shared" si="1"/>
        <v>21650.100046214196</v>
      </c>
      <c r="F24" s="39">
        <f t="shared" si="2"/>
        <v>21650</v>
      </c>
      <c r="G24">
        <f t="shared" si="3"/>
        <v>0.04011138997157104</v>
      </c>
      <c r="N24">
        <f>+G24</f>
        <v>0.04011138997157104</v>
      </c>
      <c r="O24">
        <f>+C$11+C$12*$F24</f>
        <v>0.041605056128399306</v>
      </c>
      <c r="P24">
        <f t="shared" si="4"/>
        <v>0.03214645324536461</v>
      </c>
      <c r="Q24" s="2">
        <f t="shared" si="5"/>
        <v>35259.9226</v>
      </c>
    </row>
    <row r="25" spans="1:17" ht="12.75">
      <c r="A25" s="76" t="s">
        <v>86</v>
      </c>
      <c r="B25" s="77" t="s">
        <v>37</v>
      </c>
      <c r="C25" s="76">
        <v>50278.4254</v>
      </c>
      <c r="D25" s="76" t="s">
        <v>61</v>
      </c>
      <c r="E25" s="39">
        <f t="shared" si="1"/>
        <v>21650.1070300011</v>
      </c>
      <c r="F25" s="39">
        <f t="shared" si="2"/>
        <v>21650</v>
      </c>
      <c r="G25">
        <f t="shared" si="3"/>
        <v>0.04291138997359667</v>
      </c>
      <c r="N25">
        <f>+G25</f>
        <v>0.04291138997359667</v>
      </c>
      <c r="O25">
        <f>+C$11+C$12*$F25</f>
        <v>0.041605056128399306</v>
      </c>
      <c r="P25">
        <f t="shared" si="4"/>
        <v>0.03214645324536461</v>
      </c>
      <c r="Q25" s="2">
        <f t="shared" si="5"/>
        <v>35259.9254</v>
      </c>
    </row>
    <row r="26" spans="1:17" ht="12.75">
      <c r="A26" s="37" t="s">
        <v>54</v>
      </c>
      <c r="B26" s="38"/>
      <c r="C26" s="37">
        <v>50284.4245</v>
      </c>
      <c r="D26" s="37">
        <v>0.0019</v>
      </c>
      <c r="E26" s="39">
        <f t="shared" si="1"/>
        <v>21665.070042850824</v>
      </c>
      <c r="F26">
        <f t="shared" si="2"/>
        <v>21665</v>
      </c>
      <c r="G26">
        <f t="shared" si="3"/>
        <v>0.028082183089281898</v>
      </c>
      <c r="I26">
        <f aca="true" t="shared" si="6" ref="I26:I42">+G26</f>
        <v>0.028082183089281898</v>
      </c>
      <c r="O26">
        <f>+C$11+C$12*$F26</f>
        <v>0.0415378394109477</v>
      </c>
      <c r="P26">
        <f t="shared" si="4"/>
        <v>0.032117002816226384</v>
      </c>
      <c r="Q26" s="2">
        <f t="shared" si="5"/>
        <v>35265.9245</v>
      </c>
    </row>
    <row r="27" spans="1:20" ht="12.75">
      <c r="A27" s="16" t="s">
        <v>32</v>
      </c>
      <c r="B27" s="40"/>
      <c r="C27" s="16">
        <v>50946.3488</v>
      </c>
      <c r="D27" s="16">
        <v>0.0014</v>
      </c>
      <c r="E27" s="39">
        <f t="shared" si="1"/>
        <v>23316.04799061684</v>
      </c>
      <c r="F27" s="26">
        <f t="shared" si="2"/>
        <v>23316</v>
      </c>
      <c r="G27">
        <f t="shared" si="3"/>
        <v>0.019240811488998588</v>
      </c>
      <c r="I27">
        <f t="shared" si="6"/>
        <v>0.019240811488998588</v>
      </c>
      <c r="P27">
        <f t="shared" si="4"/>
        <v>0.028437714054951727</v>
      </c>
      <c r="Q27" s="2">
        <f t="shared" si="5"/>
        <v>35927.8488</v>
      </c>
      <c r="R27">
        <f>+(P27-G27)^2</f>
        <v>8.458301680763542E-05</v>
      </c>
      <c r="S27">
        <f>1/D27^2</f>
        <v>510204.0816326531</v>
      </c>
      <c r="T27">
        <f>+R27*S27</f>
        <v>43.15460041205888</v>
      </c>
    </row>
    <row r="28" spans="1:20" ht="12.75">
      <c r="A28" s="16" t="s">
        <v>32</v>
      </c>
      <c r="B28" s="40"/>
      <c r="C28" s="16">
        <v>51045.3824</v>
      </c>
      <c r="D28" s="16">
        <v>0.0024</v>
      </c>
      <c r="E28" s="39">
        <f t="shared" si="1"/>
        <v>23563.05854709269</v>
      </c>
      <c r="F28" s="26">
        <f t="shared" si="2"/>
        <v>23563</v>
      </c>
      <c r="G28">
        <f t="shared" si="3"/>
        <v>0.023473204710171558</v>
      </c>
      <c r="I28">
        <f t="shared" si="6"/>
        <v>0.023473204710171558</v>
      </c>
      <c r="P28">
        <f t="shared" si="4"/>
        <v>0.02781265443888789</v>
      </c>
      <c r="Q28" s="2">
        <f t="shared" si="5"/>
        <v>36026.8824</v>
      </c>
      <c r="R28">
        <f>+(P28-G28)^2</f>
        <v>1.8830823948056252E-05</v>
      </c>
      <c r="S28">
        <f>1/D28^2</f>
        <v>173611.11111111115</v>
      </c>
      <c r="T28">
        <f>+R28*S28</f>
        <v>3.269240268759767</v>
      </c>
    </row>
    <row r="29" spans="1:20" ht="12.75">
      <c r="A29" s="16" t="s">
        <v>33</v>
      </c>
      <c r="B29" s="41" t="s">
        <v>34</v>
      </c>
      <c r="C29" s="42">
        <v>51270.5027</v>
      </c>
      <c r="D29" s="42">
        <v>0.0028</v>
      </c>
      <c r="E29" s="39">
        <f t="shared" si="1"/>
        <v>24124.55576194711</v>
      </c>
      <c r="F29" s="26">
        <f t="shared" si="2"/>
        <v>24124.5</v>
      </c>
      <c r="G29">
        <f t="shared" si="3"/>
        <v>0.022356560155458283</v>
      </c>
      <c r="I29">
        <f t="shared" si="6"/>
        <v>0.022356560155458283</v>
      </c>
      <c r="P29">
        <f t="shared" si="4"/>
        <v>0.02631946532889945</v>
      </c>
      <c r="Q29" s="2">
        <f t="shared" si="5"/>
        <v>36252.0027</v>
      </c>
      <c r="R29">
        <f>+(P29-G29)^2</f>
        <v>1.5704617413686767E-05</v>
      </c>
      <c r="S29">
        <f>1/D29^2</f>
        <v>127551.02040816327</v>
      </c>
      <c r="T29">
        <f>+R29*S29</f>
        <v>2.003139976235557</v>
      </c>
    </row>
    <row r="30" spans="1:20" ht="12.75">
      <c r="A30" s="16" t="s">
        <v>33</v>
      </c>
      <c r="B30" s="41" t="s">
        <v>34</v>
      </c>
      <c r="C30" s="42">
        <v>51274.512</v>
      </c>
      <c r="D30" s="42">
        <v>0.0042</v>
      </c>
      <c r="E30" s="39">
        <f t="shared" si="1"/>
        <v>24134.55579652204</v>
      </c>
      <c r="F30" s="26">
        <f t="shared" si="2"/>
        <v>24134.5</v>
      </c>
      <c r="G30">
        <f t="shared" si="3"/>
        <v>0.02237042223714525</v>
      </c>
      <c r="I30">
        <f t="shared" si="6"/>
        <v>0.02237042223714525</v>
      </c>
      <c r="P30">
        <f t="shared" si="4"/>
        <v>0.026291962873053507</v>
      </c>
      <c r="Q30" s="2">
        <f t="shared" si="5"/>
        <v>36256.012</v>
      </c>
      <c r="R30">
        <f>+(P30-G30)^2</f>
        <v>1.5378480959079743E-05</v>
      </c>
      <c r="S30">
        <f>1/D30^2</f>
        <v>56689.34240362813</v>
      </c>
      <c r="T30">
        <f>+R30*S30</f>
        <v>0.8717959727369471</v>
      </c>
    </row>
    <row r="31" spans="1:17" ht="12.75">
      <c r="A31" s="37" t="s">
        <v>55</v>
      </c>
      <c r="B31" s="38" t="s">
        <v>37</v>
      </c>
      <c r="C31" s="37">
        <v>51283.7341</v>
      </c>
      <c r="D31" s="37">
        <v>0.0019</v>
      </c>
      <c r="E31" s="39">
        <f t="shared" si="1"/>
        <v>24157.557646933168</v>
      </c>
      <c r="F31">
        <f t="shared" si="2"/>
        <v>24157.5</v>
      </c>
      <c r="G31">
        <f t="shared" si="3"/>
        <v>0.023112305003451183</v>
      </c>
      <c r="I31">
        <f t="shared" si="6"/>
        <v>0.023112305003451183</v>
      </c>
      <c r="O31">
        <f>+C$11+C$12*$F31</f>
        <v>0.030368661527739316</v>
      </c>
      <c r="P31">
        <f t="shared" si="4"/>
        <v>0.026228586422689507</v>
      </c>
      <c r="Q31" s="2">
        <f t="shared" si="5"/>
        <v>36265.2341</v>
      </c>
    </row>
    <row r="32" spans="1:20" ht="12.75">
      <c r="A32" s="42" t="s">
        <v>35</v>
      </c>
      <c r="B32" s="41" t="s">
        <v>34</v>
      </c>
      <c r="C32" s="42">
        <v>51657.3973</v>
      </c>
      <c r="D32" s="43">
        <v>0.0056</v>
      </c>
      <c r="E32" s="39">
        <f t="shared" si="1"/>
        <v>25089.551989929303</v>
      </c>
      <c r="F32" s="26">
        <f t="shared" si="2"/>
        <v>25089.5</v>
      </c>
      <c r="G32">
        <f t="shared" si="3"/>
        <v>0.02084425028442638</v>
      </c>
      <c r="I32">
        <f t="shared" si="6"/>
        <v>0.02084425028442638</v>
      </c>
      <c r="P32">
        <f t="shared" si="4"/>
        <v>0.023518801096154257</v>
      </c>
      <c r="Q32" s="2">
        <f t="shared" si="5"/>
        <v>36638.8973</v>
      </c>
      <c r="R32">
        <f aca="true" t="shared" si="7" ref="R32:R42">+(P32-G32)^2</f>
        <v>7.153222044514247E-06</v>
      </c>
      <c r="S32">
        <f aca="true" t="shared" si="8" ref="S32:S42">1/D32^2</f>
        <v>31887.755102040817</v>
      </c>
      <c r="T32">
        <f aca="true" t="shared" si="9" ref="T32:T42">+R32*S32</f>
        <v>0.22810019274599003</v>
      </c>
    </row>
    <row r="33" spans="1:20" ht="12.75">
      <c r="A33" s="42" t="s">
        <v>35</v>
      </c>
      <c r="B33" s="41" t="s">
        <v>34</v>
      </c>
      <c r="C33" s="42">
        <v>51657.3973</v>
      </c>
      <c r="D33" s="42">
        <v>0.0056</v>
      </c>
      <c r="E33" s="39">
        <f t="shared" si="1"/>
        <v>25089.551989929303</v>
      </c>
      <c r="F33" s="26">
        <f t="shared" si="2"/>
        <v>25089.5</v>
      </c>
      <c r="G33">
        <f t="shared" si="3"/>
        <v>0.02084425028442638</v>
      </c>
      <c r="I33">
        <f t="shared" si="6"/>
        <v>0.02084425028442638</v>
      </c>
      <c r="P33">
        <f t="shared" si="4"/>
        <v>0.023518801096154257</v>
      </c>
      <c r="Q33" s="2">
        <f t="shared" si="5"/>
        <v>36638.8973</v>
      </c>
      <c r="R33">
        <f t="shared" si="7"/>
        <v>7.153222044514247E-06</v>
      </c>
      <c r="S33">
        <f t="shared" si="8"/>
        <v>31887.755102040817</v>
      </c>
      <c r="T33">
        <f t="shared" si="9"/>
        <v>0.22810019274599003</v>
      </c>
    </row>
    <row r="34" spans="1:20" ht="12.75">
      <c r="A34" s="16" t="s">
        <v>36</v>
      </c>
      <c r="B34" s="41" t="s">
        <v>37</v>
      </c>
      <c r="C34" s="42">
        <v>51672.4321</v>
      </c>
      <c r="D34" s="42">
        <v>0.0029</v>
      </c>
      <c r="E34" s="39">
        <f t="shared" si="1"/>
        <v>25127.051932519527</v>
      </c>
      <c r="F34" s="26">
        <f t="shared" si="2"/>
        <v>25127</v>
      </c>
      <c r="G34">
        <f t="shared" si="3"/>
        <v>0.0208212330690003</v>
      </c>
      <c r="I34">
        <f t="shared" si="6"/>
        <v>0.0208212330690003</v>
      </c>
      <c r="P34">
        <f t="shared" si="4"/>
        <v>0.023403983598433264</v>
      </c>
      <c r="Q34" s="2">
        <f t="shared" si="5"/>
        <v>36653.9321</v>
      </c>
      <c r="R34">
        <f t="shared" si="7"/>
        <v>6.670600297286258E-06</v>
      </c>
      <c r="S34">
        <f t="shared" si="8"/>
        <v>118906.06420927469</v>
      </c>
      <c r="T34">
        <f t="shared" si="9"/>
        <v>0.7931748272635266</v>
      </c>
    </row>
    <row r="35" spans="1:20" ht="12.75">
      <c r="A35" s="16" t="s">
        <v>36</v>
      </c>
      <c r="B35" s="41" t="s">
        <v>37</v>
      </c>
      <c r="C35" s="42">
        <v>51675.4359</v>
      </c>
      <c r="D35" s="42">
        <v>0.0031</v>
      </c>
      <c r="E35" s="39">
        <f t="shared" si="1"/>
        <v>25134.544039335215</v>
      </c>
      <c r="F35" s="26">
        <f t="shared" si="2"/>
        <v>25134.5</v>
      </c>
      <c r="G35">
        <f t="shared" si="3"/>
        <v>0.01765662962134229</v>
      </c>
      <c r="I35">
        <f t="shared" si="6"/>
        <v>0.01765662962134229</v>
      </c>
      <c r="P35">
        <f t="shared" si="4"/>
        <v>0.02338096638262102</v>
      </c>
      <c r="Q35" s="2">
        <f t="shared" si="5"/>
        <v>36656.9359</v>
      </c>
      <c r="R35">
        <f t="shared" si="7"/>
        <v>3.276803135652707E-05</v>
      </c>
      <c r="S35">
        <f t="shared" si="8"/>
        <v>104058.2726326743</v>
      </c>
      <c r="T35">
        <f t="shared" si="9"/>
        <v>3.409784740533514</v>
      </c>
    </row>
    <row r="36" spans="1:20" ht="12.75">
      <c r="A36" s="42" t="s">
        <v>35</v>
      </c>
      <c r="B36" s="41" t="s">
        <v>37</v>
      </c>
      <c r="C36" s="42">
        <v>51694.4829</v>
      </c>
      <c r="D36" s="43">
        <v>0.0055</v>
      </c>
      <c r="E36" s="39">
        <f t="shared" si="1"/>
        <v>25182.051249708227</v>
      </c>
      <c r="F36" s="26">
        <f t="shared" si="2"/>
        <v>25182</v>
      </c>
      <c r="G36">
        <f t="shared" si="3"/>
        <v>0.020547474472550675</v>
      </c>
      <c r="I36">
        <f t="shared" si="6"/>
        <v>0.020547474472550675</v>
      </c>
      <c r="P36">
        <f t="shared" si="4"/>
        <v>0.023234774878772374</v>
      </c>
      <c r="Q36" s="2">
        <f t="shared" si="5"/>
        <v>36675.9829</v>
      </c>
      <c r="R36">
        <f t="shared" si="7"/>
        <v>7.221583473279307E-06</v>
      </c>
      <c r="S36">
        <f t="shared" si="8"/>
        <v>33057.85123966943</v>
      </c>
      <c r="T36">
        <f t="shared" si="9"/>
        <v>0.23873003217452257</v>
      </c>
    </row>
    <row r="37" spans="1:20" ht="12.75">
      <c r="A37" s="42" t="s">
        <v>35</v>
      </c>
      <c r="B37" s="41" t="s">
        <v>37</v>
      </c>
      <c r="C37" s="42">
        <v>51694.4829</v>
      </c>
      <c r="D37" s="42">
        <v>0.0055</v>
      </c>
      <c r="E37" s="39">
        <f t="shared" si="1"/>
        <v>25182.051249708227</v>
      </c>
      <c r="F37" s="26">
        <f t="shared" si="2"/>
        <v>25182</v>
      </c>
      <c r="G37">
        <f t="shared" si="3"/>
        <v>0.020547474472550675</v>
      </c>
      <c r="I37">
        <f t="shared" si="6"/>
        <v>0.020547474472550675</v>
      </c>
      <c r="P37">
        <f t="shared" si="4"/>
        <v>0.023234774878772374</v>
      </c>
      <c r="Q37" s="2">
        <f t="shared" si="5"/>
        <v>36675.9829</v>
      </c>
      <c r="R37">
        <f t="shared" si="7"/>
        <v>7.221583473279307E-06</v>
      </c>
      <c r="S37">
        <f t="shared" si="8"/>
        <v>33057.85123966943</v>
      </c>
      <c r="T37">
        <f t="shared" si="9"/>
        <v>0.23873003217452257</v>
      </c>
    </row>
    <row r="38" spans="1:20" ht="12.75">
      <c r="A38" s="16" t="s">
        <v>36</v>
      </c>
      <c r="B38" s="41" t="s">
        <v>37</v>
      </c>
      <c r="C38" s="42">
        <v>51697.4908</v>
      </c>
      <c r="D38" s="42">
        <v>0.0027</v>
      </c>
      <c r="E38" s="39">
        <f t="shared" si="1"/>
        <v>25189.553582783294</v>
      </c>
      <c r="F38" s="26">
        <f t="shared" si="2"/>
        <v>25189.5</v>
      </c>
      <c r="G38">
        <f t="shared" si="3"/>
        <v>0.021482871030457318</v>
      </c>
      <c r="I38">
        <f t="shared" si="6"/>
        <v>0.021482871030457318</v>
      </c>
      <c r="P38">
        <f t="shared" si="4"/>
        <v>0.023211626356527154</v>
      </c>
      <c r="Q38" s="2">
        <f t="shared" si="5"/>
        <v>36678.9908</v>
      </c>
      <c r="R38">
        <f t="shared" si="7"/>
        <v>2.988594977414826E-06</v>
      </c>
      <c r="S38">
        <f t="shared" si="8"/>
        <v>137174.2112482853</v>
      </c>
      <c r="T38">
        <f t="shared" si="9"/>
        <v>0.4099581587674658</v>
      </c>
    </row>
    <row r="39" spans="1:20" ht="12.75">
      <c r="A39" s="42" t="s">
        <v>35</v>
      </c>
      <c r="B39" s="41" t="s">
        <v>37</v>
      </c>
      <c r="C39" s="42">
        <v>51714.5339</v>
      </c>
      <c r="D39" s="43">
        <v>0.0067</v>
      </c>
      <c r="E39" s="39">
        <f t="shared" si="1"/>
        <v>25232.062646526043</v>
      </c>
      <c r="F39" s="26">
        <f t="shared" si="2"/>
        <v>25232</v>
      </c>
      <c r="G39">
        <f t="shared" si="3"/>
        <v>0.025116784847341478</v>
      </c>
      <c r="I39">
        <f t="shared" si="6"/>
        <v>0.025116784847341478</v>
      </c>
      <c r="P39">
        <f t="shared" si="4"/>
        <v>0.02308011318359801</v>
      </c>
      <c r="Q39" s="2">
        <f t="shared" si="5"/>
        <v>36696.0339</v>
      </c>
      <c r="R39">
        <f t="shared" si="7"/>
        <v>4.148031465895581E-06</v>
      </c>
      <c r="S39">
        <f t="shared" si="8"/>
        <v>22276.676319893068</v>
      </c>
      <c r="T39">
        <f t="shared" si="9"/>
        <v>0.09240435433048741</v>
      </c>
    </row>
    <row r="40" spans="1:20" ht="12.75">
      <c r="A40" s="42" t="s">
        <v>35</v>
      </c>
      <c r="B40" s="41" t="s">
        <v>37</v>
      </c>
      <c r="C40" s="42">
        <v>51714.5339</v>
      </c>
      <c r="D40" s="42">
        <v>0.0067</v>
      </c>
      <c r="E40" s="39">
        <f t="shared" si="1"/>
        <v>25232.062646526043</v>
      </c>
      <c r="F40" s="26">
        <f t="shared" si="2"/>
        <v>25232</v>
      </c>
      <c r="G40">
        <f t="shared" si="3"/>
        <v>0.025116784847341478</v>
      </c>
      <c r="I40">
        <f t="shared" si="6"/>
        <v>0.025116784847341478</v>
      </c>
      <c r="P40">
        <f t="shared" si="4"/>
        <v>0.02308011318359801</v>
      </c>
      <c r="Q40" s="2">
        <f t="shared" si="5"/>
        <v>36696.0339</v>
      </c>
      <c r="R40">
        <f t="shared" si="7"/>
        <v>4.148031465895581E-06</v>
      </c>
      <c r="S40">
        <f t="shared" si="8"/>
        <v>22276.676319893068</v>
      </c>
      <c r="T40">
        <f t="shared" si="9"/>
        <v>0.09240435433048741</v>
      </c>
    </row>
    <row r="41" spans="1:20" ht="12.75">
      <c r="A41" s="42" t="s">
        <v>35</v>
      </c>
      <c r="B41" s="41" t="s">
        <v>34</v>
      </c>
      <c r="C41" s="42">
        <v>51752.4178</v>
      </c>
      <c r="D41" s="43">
        <v>0.0049</v>
      </c>
      <c r="E41" s="39">
        <f t="shared" si="1"/>
        <v>25326.553033833738</v>
      </c>
      <c r="F41" s="26">
        <f t="shared" si="2"/>
        <v>25326.5</v>
      </c>
      <c r="G41">
        <f t="shared" si="3"/>
        <v>0.021262781439872924</v>
      </c>
      <c r="I41">
        <f t="shared" si="6"/>
        <v>0.021262781439872924</v>
      </c>
      <c r="P41">
        <f t="shared" si="4"/>
        <v>0.022785629219513576</v>
      </c>
      <c r="Q41" s="2">
        <f t="shared" si="5"/>
        <v>36733.9178</v>
      </c>
      <c r="R41">
        <f t="shared" si="7"/>
        <v>2.319065359956462E-06</v>
      </c>
      <c r="S41">
        <f t="shared" si="8"/>
        <v>41649.312786339025</v>
      </c>
      <c r="T41">
        <f t="shared" si="9"/>
        <v>0.0965874785487906</v>
      </c>
    </row>
    <row r="42" spans="1:20" ht="12.75">
      <c r="A42" s="42" t="s">
        <v>35</v>
      </c>
      <c r="B42" s="41" t="s">
        <v>34</v>
      </c>
      <c r="C42" s="42">
        <v>51752.4178</v>
      </c>
      <c r="D42" s="42">
        <v>0.0049</v>
      </c>
      <c r="E42" s="39">
        <f t="shared" si="1"/>
        <v>25326.553033833738</v>
      </c>
      <c r="F42" s="26">
        <f t="shared" si="2"/>
        <v>25326.5</v>
      </c>
      <c r="G42">
        <f t="shared" si="3"/>
        <v>0.021262781439872924</v>
      </c>
      <c r="I42">
        <f t="shared" si="6"/>
        <v>0.021262781439872924</v>
      </c>
      <c r="P42">
        <f t="shared" si="4"/>
        <v>0.022785629219513576</v>
      </c>
      <c r="Q42" s="2">
        <f t="shared" si="5"/>
        <v>36733.9178</v>
      </c>
      <c r="R42">
        <f t="shared" si="7"/>
        <v>2.319065359956462E-06</v>
      </c>
      <c r="S42">
        <f t="shared" si="8"/>
        <v>41649.312786339025</v>
      </c>
      <c r="T42">
        <f t="shared" si="9"/>
        <v>0.0965874785487906</v>
      </c>
    </row>
    <row r="43" spans="1:17" ht="12.75">
      <c r="A43" s="50" t="s">
        <v>59</v>
      </c>
      <c r="B43" s="51" t="s">
        <v>37</v>
      </c>
      <c r="C43" s="50">
        <v>51956.69012</v>
      </c>
      <c r="D43" s="50">
        <v>0.0008</v>
      </c>
      <c r="E43" s="39">
        <f t="shared" si="1"/>
        <v>25836.05101669824</v>
      </c>
      <c r="F43">
        <f t="shared" si="2"/>
        <v>25836</v>
      </c>
      <c r="G43">
        <f t="shared" si="3"/>
        <v>0.02045405410171952</v>
      </c>
      <c r="K43">
        <f>+G43</f>
        <v>0.02045405410171952</v>
      </c>
      <c r="O43">
        <f>+C$11+C$12*$F43</f>
        <v>0.022847110844904706</v>
      </c>
      <c r="P43">
        <f t="shared" si="4"/>
        <v>0.021148929430821722</v>
      </c>
      <c r="Q43" s="2">
        <f t="shared" si="5"/>
        <v>36938.19012</v>
      </c>
    </row>
    <row r="44" spans="1:20" ht="12.75">
      <c r="A44" s="42" t="s">
        <v>35</v>
      </c>
      <c r="B44" s="41" t="s">
        <v>34</v>
      </c>
      <c r="C44" s="42">
        <v>51965.7119</v>
      </c>
      <c r="D44" s="43">
        <v>0.0042</v>
      </c>
      <c r="E44" s="39">
        <f t="shared" si="1"/>
        <v>25858.553227041026</v>
      </c>
      <c r="F44">
        <f t="shared" si="2"/>
        <v>25858.5</v>
      </c>
      <c r="G44">
        <f t="shared" si="3"/>
        <v>0.021340243773011025</v>
      </c>
      <c r="I44">
        <f aca="true" t="shared" si="10" ref="I44:I51">+G44</f>
        <v>0.021340243773011025</v>
      </c>
      <c r="P44">
        <f t="shared" si="4"/>
        <v>0.02107474608924491</v>
      </c>
      <c r="Q44" s="2">
        <f t="shared" si="5"/>
        <v>36947.2119</v>
      </c>
      <c r="R44">
        <f aca="true" t="shared" si="11" ref="R44:R51">+(P44-G44)^2</f>
        <v>7.048902008517285E-08</v>
      </c>
      <c r="S44">
        <f aca="true" t="shared" si="12" ref="S44:S51">1/D44^2</f>
        <v>56689.34240362813</v>
      </c>
      <c r="T44">
        <f aca="true" t="shared" si="13" ref="T44:T51">+R44*S44</f>
        <v>0.003995976195304584</v>
      </c>
    </row>
    <row r="45" spans="1:20" ht="12.75">
      <c r="A45" s="42" t="s">
        <v>35</v>
      </c>
      <c r="B45" s="41" t="s">
        <v>34</v>
      </c>
      <c r="C45" s="42">
        <v>51965.7119</v>
      </c>
      <c r="D45" s="42">
        <v>0.0042</v>
      </c>
      <c r="E45" s="39">
        <f t="shared" si="1"/>
        <v>25858.553227041026</v>
      </c>
      <c r="F45">
        <f t="shared" si="2"/>
        <v>25858.5</v>
      </c>
      <c r="G45">
        <f t="shared" si="3"/>
        <v>0.021340243773011025</v>
      </c>
      <c r="I45">
        <f t="shared" si="10"/>
        <v>0.021340243773011025</v>
      </c>
      <c r="P45">
        <f t="shared" si="4"/>
        <v>0.02107474608924491</v>
      </c>
      <c r="Q45" s="2">
        <f t="shared" si="5"/>
        <v>36947.2119</v>
      </c>
      <c r="R45">
        <f t="shared" si="11"/>
        <v>7.048902008517285E-08</v>
      </c>
      <c r="S45">
        <f t="shared" si="12"/>
        <v>56689.34240362813</v>
      </c>
      <c r="T45">
        <f t="shared" si="13"/>
        <v>0.003995976195304584</v>
      </c>
    </row>
    <row r="46" spans="1:20" ht="12.75">
      <c r="A46" s="42" t="s">
        <v>35</v>
      </c>
      <c r="B46" s="41" t="s">
        <v>34</v>
      </c>
      <c r="C46" s="42">
        <v>51982.5513</v>
      </c>
      <c r="D46" s="43">
        <v>0.0034</v>
      </c>
      <c r="E46" s="39">
        <f t="shared" si="1"/>
        <v>25900.55422028694</v>
      </c>
      <c r="F46">
        <f t="shared" si="2"/>
        <v>25900.5</v>
      </c>
      <c r="G46">
        <f t="shared" si="3"/>
        <v>0.021738464485679287</v>
      </c>
      <c r="I46">
        <f t="shared" si="10"/>
        <v>0.021738464485679287</v>
      </c>
      <c r="P46">
        <f t="shared" si="4"/>
        <v>0.02093583935572338</v>
      </c>
      <c r="Q46" s="2">
        <f t="shared" si="5"/>
        <v>36964.0513</v>
      </c>
      <c r="R46">
        <f t="shared" si="11"/>
        <v>6.442070992367389E-07</v>
      </c>
      <c r="S46">
        <f t="shared" si="12"/>
        <v>86505.19031141869</v>
      </c>
      <c r="T46">
        <f t="shared" si="13"/>
        <v>0.05572725771944108</v>
      </c>
    </row>
    <row r="47" spans="1:20" ht="12.75">
      <c r="A47" s="42" t="s">
        <v>35</v>
      </c>
      <c r="B47" s="41" t="s">
        <v>34</v>
      </c>
      <c r="C47" s="42">
        <v>51982.5513</v>
      </c>
      <c r="D47" s="42">
        <v>0.0034</v>
      </c>
      <c r="E47" s="39">
        <f t="shared" si="1"/>
        <v>25900.55422028694</v>
      </c>
      <c r="F47">
        <f t="shared" si="2"/>
        <v>25900.5</v>
      </c>
      <c r="G47">
        <f t="shared" si="3"/>
        <v>0.021738464485679287</v>
      </c>
      <c r="I47">
        <f t="shared" si="10"/>
        <v>0.021738464485679287</v>
      </c>
      <c r="O47">
        <f aca="true" t="shared" si="14" ref="O47:O84">+C$11+C$12*$F47</f>
        <v>0.02255807895986281</v>
      </c>
      <c r="P47">
        <f t="shared" si="4"/>
        <v>0.02093583935572338</v>
      </c>
      <c r="Q47" s="2">
        <f t="shared" si="5"/>
        <v>36964.0513</v>
      </c>
      <c r="R47">
        <f t="shared" si="11"/>
        <v>6.442070992367389E-07</v>
      </c>
      <c r="S47">
        <f t="shared" si="12"/>
        <v>86505.19031141869</v>
      </c>
      <c r="T47">
        <f t="shared" si="13"/>
        <v>0.05572725771944108</v>
      </c>
    </row>
    <row r="48" spans="1:20" ht="12.75">
      <c r="A48" s="42" t="s">
        <v>35</v>
      </c>
      <c r="B48" s="41" t="s">
        <v>34</v>
      </c>
      <c r="C48" s="42">
        <v>52002.5959</v>
      </c>
      <c r="D48" s="43">
        <v>0.0016</v>
      </c>
      <c r="E48" s="39">
        <f t="shared" si="1"/>
        <v>25950.54965416328</v>
      </c>
      <c r="F48">
        <f t="shared" si="2"/>
        <v>25950.5</v>
      </c>
      <c r="G48">
        <f t="shared" si="3"/>
        <v>0.019907774854800664</v>
      </c>
      <c r="I48">
        <f t="shared" si="10"/>
        <v>0.019907774854800664</v>
      </c>
      <c r="O48">
        <f t="shared" si="14"/>
        <v>0.02233402323502412</v>
      </c>
      <c r="P48">
        <f t="shared" si="4"/>
        <v>0.020769742063930688</v>
      </c>
      <c r="Q48" s="2">
        <f t="shared" si="5"/>
        <v>36984.0959</v>
      </c>
      <c r="R48">
        <f t="shared" si="11"/>
        <v>7.429874696154026E-07</v>
      </c>
      <c r="S48">
        <f t="shared" si="12"/>
        <v>390625</v>
      </c>
      <c r="T48">
        <f t="shared" si="13"/>
        <v>0.29022948031851664</v>
      </c>
    </row>
    <row r="49" spans="1:20" ht="12.75">
      <c r="A49" s="42" t="s">
        <v>35</v>
      </c>
      <c r="B49" s="41" t="s">
        <v>34</v>
      </c>
      <c r="C49" s="42">
        <v>52002.5959</v>
      </c>
      <c r="D49" s="42">
        <v>0.0016</v>
      </c>
      <c r="E49" s="39">
        <f t="shared" si="1"/>
        <v>25950.54965416328</v>
      </c>
      <c r="F49">
        <f t="shared" si="2"/>
        <v>25950.5</v>
      </c>
      <c r="G49">
        <f t="shared" si="3"/>
        <v>0.019907774854800664</v>
      </c>
      <c r="I49">
        <f t="shared" si="10"/>
        <v>0.019907774854800664</v>
      </c>
      <c r="O49">
        <f t="shared" si="14"/>
        <v>0.02233402323502412</v>
      </c>
      <c r="P49">
        <f t="shared" si="4"/>
        <v>0.020769742063930688</v>
      </c>
      <c r="Q49" s="2">
        <f t="shared" si="5"/>
        <v>36984.0959</v>
      </c>
      <c r="R49">
        <f t="shared" si="11"/>
        <v>7.429874696154026E-07</v>
      </c>
      <c r="S49">
        <f t="shared" si="12"/>
        <v>390625</v>
      </c>
      <c r="T49">
        <f t="shared" si="13"/>
        <v>0.29022948031851664</v>
      </c>
    </row>
    <row r="50" spans="1:20" ht="12.75">
      <c r="A50" s="42" t="s">
        <v>35</v>
      </c>
      <c r="B50" s="41" t="s">
        <v>34</v>
      </c>
      <c r="C50" s="42">
        <v>52031.4728</v>
      </c>
      <c r="D50" s="43">
        <v>0.0028</v>
      </c>
      <c r="E50" s="39">
        <f t="shared" si="1"/>
        <v>26022.574695546184</v>
      </c>
      <c r="F50">
        <f t="shared" si="2"/>
        <v>26022.5</v>
      </c>
      <c r="G50">
        <f t="shared" si="3"/>
        <v>0.029947581788292155</v>
      </c>
      <c r="I50">
        <f t="shared" si="10"/>
        <v>0.029947581788292155</v>
      </c>
      <c r="O50">
        <f t="shared" si="14"/>
        <v>0.02201138299125642</v>
      </c>
      <c r="P50">
        <f t="shared" si="4"/>
        <v>0.020529163908346373</v>
      </c>
      <c r="Q50" s="2">
        <f t="shared" si="5"/>
        <v>37012.9728</v>
      </c>
      <c r="R50">
        <f t="shared" si="11"/>
        <v>8.870659536128238E-05</v>
      </c>
      <c r="S50">
        <f t="shared" si="12"/>
        <v>127551.02040816327</v>
      </c>
      <c r="T50">
        <f t="shared" si="13"/>
        <v>11.314616755265611</v>
      </c>
    </row>
    <row r="51" spans="1:20" ht="12.75">
      <c r="A51" s="42" t="s">
        <v>35</v>
      </c>
      <c r="B51" s="41" t="s">
        <v>34</v>
      </c>
      <c r="C51" s="42">
        <v>52031.4728</v>
      </c>
      <c r="D51" s="42">
        <v>0.0028</v>
      </c>
      <c r="E51" s="39">
        <f t="shared" si="1"/>
        <v>26022.574695546184</v>
      </c>
      <c r="F51" s="39">
        <f t="shared" si="2"/>
        <v>26022.5</v>
      </c>
      <c r="G51">
        <f t="shared" si="3"/>
        <v>0.029947581788292155</v>
      </c>
      <c r="I51">
        <f t="shared" si="10"/>
        <v>0.029947581788292155</v>
      </c>
      <c r="O51">
        <f t="shared" si="14"/>
        <v>0.02201138299125642</v>
      </c>
      <c r="P51">
        <f t="shared" si="4"/>
        <v>0.020529163908346373</v>
      </c>
      <c r="Q51" s="2">
        <f t="shared" si="5"/>
        <v>37012.9728</v>
      </c>
      <c r="R51">
        <f t="shared" si="11"/>
        <v>8.870659536128238E-05</v>
      </c>
      <c r="S51">
        <f t="shared" si="12"/>
        <v>127551.02040816327</v>
      </c>
      <c r="T51">
        <f t="shared" si="13"/>
        <v>11.314616755265611</v>
      </c>
    </row>
    <row r="52" spans="1:17" ht="12.75">
      <c r="A52" s="57" t="s">
        <v>59</v>
      </c>
      <c r="B52" s="58" t="s">
        <v>34</v>
      </c>
      <c r="C52" s="57">
        <v>52033.464</v>
      </c>
      <c r="D52" s="57" t="s">
        <v>60</v>
      </c>
      <c r="E52" s="39">
        <f t="shared" si="1"/>
        <v>26027.54116571443</v>
      </c>
      <c r="F52" s="39">
        <f t="shared" si="2"/>
        <v>26027.5</v>
      </c>
      <c r="G52">
        <f t="shared" si="3"/>
        <v>0.01650451282330323</v>
      </c>
      <c r="K52">
        <f>+G52</f>
        <v>0.01650451282330323</v>
      </c>
      <c r="O52">
        <f t="shared" si="14"/>
        <v>0.02198897741877255</v>
      </c>
      <c r="P52">
        <f t="shared" si="4"/>
        <v>0.020512395815650952</v>
      </c>
      <c r="Q52" s="2">
        <f t="shared" si="5"/>
        <v>37014.964</v>
      </c>
    </row>
    <row r="53" spans="1:17" ht="12.75">
      <c r="A53" s="57" t="s">
        <v>59</v>
      </c>
      <c r="B53" s="58" t="s">
        <v>34</v>
      </c>
      <c r="C53" s="57">
        <v>52106.4191</v>
      </c>
      <c r="D53" s="57" t="s">
        <v>61</v>
      </c>
      <c r="E53" s="39">
        <f aca="true" t="shared" si="15" ref="E53:E84">+(C53-C$7)/C$8</f>
        <v>26209.506476969902</v>
      </c>
      <c r="F53" s="39">
        <f aca="true" t="shared" si="16" ref="F53:F84">ROUND(2*E53,0)/2</f>
        <v>26209.5</v>
      </c>
      <c r="K53" s="33">
        <v>0.002596802565676626</v>
      </c>
      <c r="O53">
        <f t="shared" si="14"/>
        <v>0.021173414580359748</v>
      </c>
      <c r="P53">
        <f aca="true" t="shared" si="17" ref="P53:P84">+D$11+D$12*F53+D$13*F53^2</f>
        <v>0.019896620413488983</v>
      </c>
      <c r="Q53" s="2">
        <f aca="true" t="shared" si="18" ref="Q53:Q84">+C53-15018.5</f>
        <v>37087.9191</v>
      </c>
    </row>
    <row r="54" spans="1:17" ht="12.75">
      <c r="A54" s="57" t="s">
        <v>59</v>
      </c>
      <c r="B54" s="58" t="s">
        <v>34</v>
      </c>
      <c r="C54" s="57">
        <v>52106.4274</v>
      </c>
      <c r="D54" s="57" t="s">
        <v>61</v>
      </c>
      <c r="E54" s="39">
        <f t="shared" si="15"/>
        <v>26209.52717890964</v>
      </c>
      <c r="F54" s="39">
        <f t="shared" si="16"/>
        <v>26209.5</v>
      </c>
      <c r="K54" s="33">
        <v>0.01089680256700376</v>
      </c>
      <c r="O54">
        <f t="shared" si="14"/>
        <v>0.021173414580359748</v>
      </c>
      <c r="P54">
        <f t="shared" si="17"/>
        <v>0.019896620413488983</v>
      </c>
      <c r="Q54" s="2">
        <f t="shared" si="18"/>
        <v>37087.9274</v>
      </c>
    </row>
    <row r="55" spans="1:17" ht="12.75">
      <c r="A55" s="57" t="s">
        <v>59</v>
      </c>
      <c r="B55" s="58" t="s">
        <v>34</v>
      </c>
      <c r="C55" s="57">
        <v>52106.4316</v>
      </c>
      <c r="D55" s="57" t="s">
        <v>61</v>
      </c>
      <c r="E55" s="39">
        <f t="shared" si="15"/>
        <v>26209.537654589996</v>
      </c>
      <c r="F55" s="39">
        <f t="shared" si="16"/>
        <v>26209.5</v>
      </c>
      <c r="K55" s="33">
        <v>0.0150968025700422</v>
      </c>
      <c r="O55">
        <f t="shared" si="14"/>
        <v>0.021173414580359748</v>
      </c>
      <c r="P55">
        <f t="shared" si="17"/>
        <v>0.019896620413488983</v>
      </c>
      <c r="Q55" s="2">
        <f t="shared" si="18"/>
        <v>37087.9316</v>
      </c>
    </row>
    <row r="56" spans="1:17" ht="12.75">
      <c r="A56" s="57" t="s">
        <v>59</v>
      </c>
      <c r="B56" s="58" t="s">
        <v>34</v>
      </c>
      <c r="C56" s="57">
        <v>52106.435</v>
      </c>
      <c r="D56" s="57" t="s">
        <v>61</v>
      </c>
      <c r="E56" s="39">
        <f t="shared" si="15"/>
        <v>26209.54613490264</v>
      </c>
      <c r="F56" s="39">
        <f t="shared" si="16"/>
        <v>26209.5</v>
      </c>
      <c r="K56" s="33">
        <v>0.01849680256418651</v>
      </c>
      <c r="O56">
        <f t="shared" si="14"/>
        <v>0.021173414580359748</v>
      </c>
      <c r="P56">
        <f t="shared" si="17"/>
        <v>0.019896620413488983</v>
      </c>
      <c r="Q56" s="2">
        <f t="shared" si="18"/>
        <v>37087.935</v>
      </c>
    </row>
    <row r="57" spans="1:17" ht="12.75">
      <c r="A57" s="44" t="s">
        <v>48</v>
      </c>
      <c r="B57" s="45"/>
      <c r="C57" s="37">
        <v>52741.4992</v>
      </c>
      <c r="D57" s="37">
        <v>0.0006</v>
      </c>
      <c r="E57" s="39">
        <f t="shared" si="15"/>
        <v>27793.529363219943</v>
      </c>
      <c r="F57" s="39">
        <f t="shared" si="16"/>
        <v>27793.5</v>
      </c>
      <c r="G57">
        <f aca="true" t="shared" si="19" ref="G57:G84">+C57-(C$7+F57*C$8)</f>
        <v>0.011772555066272616</v>
      </c>
      <c r="I57">
        <f aca="true" t="shared" si="20" ref="I57:I64">+G57</f>
        <v>0.011772555066272616</v>
      </c>
      <c r="O57">
        <f t="shared" si="14"/>
        <v>0.014075329217470248</v>
      </c>
      <c r="P57">
        <f t="shared" si="17"/>
        <v>0.014092121037423896</v>
      </c>
      <c r="Q57" s="2">
        <f t="shared" si="18"/>
        <v>37722.9992</v>
      </c>
    </row>
    <row r="58" spans="1:20" ht="12.75">
      <c r="A58" s="42" t="s">
        <v>35</v>
      </c>
      <c r="B58" s="41" t="s">
        <v>34</v>
      </c>
      <c r="C58" s="42">
        <v>52828.5028</v>
      </c>
      <c r="D58" s="43">
        <v>0.0043</v>
      </c>
      <c r="E58" s="39">
        <f t="shared" si="15"/>
        <v>28010.534578130868</v>
      </c>
      <c r="F58" s="39">
        <f t="shared" si="16"/>
        <v>28010.5</v>
      </c>
      <c r="G58">
        <f t="shared" si="19"/>
        <v>0.013863362073607277</v>
      </c>
      <c r="I58">
        <f t="shared" si="20"/>
        <v>0.013863362073607277</v>
      </c>
      <c r="O58">
        <f t="shared" si="14"/>
        <v>0.013102927371670348</v>
      </c>
      <c r="P58">
        <f t="shared" si="17"/>
        <v>0.013234731773440409</v>
      </c>
      <c r="Q58" s="2">
        <f t="shared" si="18"/>
        <v>37810.0028</v>
      </c>
      <c r="R58">
        <f>+(P58-G58)^2</f>
        <v>3.9517605428788734E-07</v>
      </c>
      <c r="S58">
        <f>1/D58^2</f>
        <v>54083.28826392644</v>
      </c>
      <c r="T58">
        <f>+R58*S58</f>
        <v>0.021372420459052854</v>
      </c>
    </row>
    <row r="59" spans="1:20" ht="12.75">
      <c r="A59" s="42" t="s">
        <v>35</v>
      </c>
      <c r="B59" s="41" t="s">
        <v>34</v>
      </c>
      <c r="C59" s="42">
        <v>52828.5028</v>
      </c>
      <c r="D59" s="42">
        <v>0.0043</v>
      </c>
      <c r="E59" s="39">
        <f t="shared" si="15"/>
        <v>28010.534578130868</v>
      </c>
      <c r="F59" s="39">
        <f t="shared" si="16"/>
        <v>28010.5</v>
      </c>
      <c r="G59">
        <f t="shared" si="19"/>
        <v>0.013863362073607277</v>
      </c>
      <c r="I59">
        <f t="shared" si="20"/>
        <v>0.013863362073607277</v>
      </c>
      <c r="O59">
        <f t="shared" si="14"/>
        <v>0.013102927371670348</v>
      </c>
      <c r="P59">
        <f t="shared" si="17"/>
        <v>0.013234731773440409</v>
      </c>
      <c r="Q59" s="2">
        <f t="shared" si="18"/>
        <v>37810.0028</v>
      </c>
      <c r="R59">
        <f>+(P59-G59)^2</f>
        <v>3.9517605428788734E-07</v>
      </c>
      <c r="S59">
        <f>1/D59^2</f>
        <v>54083.28826392644</v>
      </c>
      <c r="T59">
        <f>+R59*S59</f>
        <v>0.021372420459052854</v>
      </c>
    </row>
    <row r="60" spans="1:17" ht="12.75">
      <c r="A60" s="44" t="s">
        <v>48</v>
      </c>
      <c r="B60" s="45"/>
      <c r="C60" s="37">
        <v>53082.4864</v>
      </c>
      <c r="D60" s="37">
        <v>0.0009</v>
      </c>
      <c r="E60" s="39">
        <f t="shared" si="15"/>
        <v>28644.022913117547</v>
      </c>
      <c r="F60" s="39">
        <f t="shared" si="16"/>
        <v>28644</v>
      </c>
      <c r="G60">
        <f t="shared" si="19"/>
        <v>0.009186524453980383</v>
      </c>
      <c r="I60">
        <f t="shared" si="20"/>
        <v>0.009186524453980383</v>
      </c>
      <c r="O60">
        <f t="shared" si="14"/>
        <v>0.010264141337964244</v>
      </c>
      <c r="P60">
        <f t="shared" si="17"/>
        <v>0.010645954552347903</v>
      </c>
      <c r="Q60" s="2">
        <f t="shared" si="18"/>
        <v>38063.9864</v>
      </c>
    </row>
    <row r="61" spans="1:17" ht="12.75">
      <c r="A61" s="44" t="s">
        <v>48</v>
      </c>
      <c r="B61" s="45"/>
      <c r="C61" s="37">
        <v>53117.3678</v>
      </c>
      <c r="D61" s="37">
        <v>0.0003</v>
      </c>
      <c r="E61" s="39">
        <f t="shared" si="15"/>
        <v>28731.024436082036</v>
      </c>
      <c r="F61" s="39">
        <f t="shared" si="16"/>
        <v>28731</v>
      </c>
      <c r="G61">
        <f t="shared" si="19"/>
        <v>0.009797124497708865</v>
      </c>
      <c r="I61">
        <f t="shared" si="20"/>
        <v>0.009797124497708865</v>
      </c>
      <c r="O61">
        <f t="shared" si="14"/>
        <v>0.009874284376744924</v>
      </c>
      <c r="P61">
        <f t="shared" si="17"/>
        <v>0.010280455208851236</v>
      </c>
      <c r="Q61" s="2">
        <f t="shared" si="18"/>
        <v>38098.8678</v>
      </c>
    </row>
    <row r="62" spans="1:17" ht="12.75">
      <c r="A62" s="44" t="s">
        <v>48</v>
      </c>
      <c r="B62" s="45"/>
      <c r="C62" s="37">
        <v>53117.5673</v>
      </c>
      <c r="D62" s="37">
        <v>0.0003</v>
      </c>
      <c r="E62" s="39">
        <f t="shared" si="15"/>
        <v>28731.52203089852</v>
      </c>
      <c r="F62" s="39">
        <f t="shared" si="16"/>
        <v>28731.5</v>
      </c>
      <c r="G62">
        <f t="shared" si="19"/>
        <v>0.00883281760616228</v>
      </c>
      <c r="I62">
        <f t="shared" si="20"/>
        <v>0.00883281760616228</v>
      </c>
      <c r="O62">
        <f t="shared" si="14"/>
        <v>0.009872043819496551</v>
      </c>
      <c r="P62">
        <f t="shared" si="17"/>
        <v>0.010278347674691657</v>
      </c>
      <c r="Q62" s="2">
        <f t="shared" si="18"/>
        <v>38099.0673</v>
      </c>
    </row>
    <row r="63" spans="1:17" ht="12.75">
      <c r="A63" s="44" t="s">
        <v>48</v>
      </c>
      <c r="B63" s="45"/>
      <c r="C63" s="37">
        <v>53123.3821</v>
      </c>
      <c r="D63" s="37">
        <v>0.0002</v>
      </c>
      <c r="E63" s="39">
        <f t="shared" si="15"/>
        <v>28746.02536091778</v>
      </c>
      <c r="F63" s="39">
        <f t="shared" si="16"/>
        <v>28746</v>
      </c>
      <c r="G63">
        <f t="shared" si="19"/>
        <v>0.010167917615035549</v>
      </c>
      <c r="I63">
        <f t="shared" si="20"/>
        <v>0.010167917615035549</v>
      </c>
      <c r="O63">
        <f t="shared" si="14"/>
        <v>0.009807067659293317</v>
      </c>
      <c r="P63">
        <f t="shared" si="17"/>
        <v>0.010217194566913723</v>
      </c>
      <c r="Q63" s="2">
        <f t="shared" si="18"/>
        <v>38104.8821</v>
      </c>
    </row>
    <row r="64" spans="1:17" ht="12.75">
      <c r="A64" s="44" t="s">
        <v>48</v>
      </c>
      <c r="B64" s="45"/>
      <c r="C64" s="37">
        <v>53221.4091</v>
      </c>
      <c r="D64" s="37">
        <v>0.0007</v>
      </c>
      <c r="E64" s="39">
        <f t="shared" si="15"/>
        <v>28990.525246003814</v>
      </c>
      <c r="F64" s="39">
        <f t="shared" si="16"/>
        <v>28990.5</v>
      </c>
      <c r="G64">
        <f t="shared" si="19"/>
        <v>0.010121845312824007</v>
      </c>
      <c r="I64">
        <f t="shared" si="20"/>
        <v>0.010121845312824007</v>
      </c>
      <c r="O64">
        <f t="shared" si="14"/>
        <v>0.008711435164832165</v>
      </c>
      <c r="P64">
        <f t="shared" si="17"/>
        <v>0.009175947803048895</v>
      </c>
      <c r="Q64" s="2">
        <f t="shared" si="18"/>
        <v>38202.9091</v>
      </c>
    </row>
    <row r="65" spans="1:20" ht="12.75">
      <c r="A65" s="46" t="s">
        <v>52</v>
      </c>
      <c r="B65" s="39"/>
      <c r="C65" s="37">
        <v>53814.9762</v>
      </c>
      <c r="D65" s="37">
        <v>0.0001</v>
      </c>
      <c r="E65" s="39">
        <f t="shared" si="15"/>
        <v>30471.006008863595</v>
      </c>
      <c r="F65" s="39">
        <f t="shared" si="16"/>
        <v>30471</v>
      </c>
      <c r="G65">
        <f t="shared" si="19"/>
        <v>0.0024091253508231603</v>
      </c>
      <c r="J65">
        <f>+G65</f>
        <v>0.0024091253508231603</v>
      </c>
      <c r="O65">
        <f t="shared" si="14"/>
        <v>0.002077145152358739</v>
      </c>
      <c r="P65">
        <f t="shared" si="17"/>
        <v>0.002464504066994333</v>
      </c>
      <c r="Q65" s="2">
        <f t="shared" si="18"/>
        <v>38796.4762</v>
      </c>
      <c r="R65">
        <f>+(P65-G65)^2</f>
        <v>3.0668022047673087E-09</v>
      </c>
      <c r="S65">
        <f>1/D65^2</f>
        <v>100000000</v>
      </c>
      <c r="T65">
        <f>+R65*S65</f>
        <v>0.3066802204767309</v>
      </c>
    </row>
    <row r="66" spans="1:17" ht="12.75">
      <c r="A66" s="16" t="s">
        <v>65</v>
      </c>
      <c r="B66" s="40" t="s">
        <v>37</v>
      </c>
      <c r="C66" s="16">
        <v>53847.4493</v>
      </c>
      <c r="D66" s="16">
        <v>0.0015</v>
      </c>
      <c r="E66" s="39">
        <f t="shared" si="15"/>
        <v>30552.000726833016</v>
      </c>
      <c r="F66" s="39">
        <f t="shared" si="16"/>
        <v>30552</v>
      </c>
      <c r="G66">
        <f t="shared" si="19"/>
        <v>0.0002914081487688236</v>
      </c>
      <c r="I66">
        <f>+G66</f>
        <v>0.0002914081487688236</v>
      </c>
      <c r="O66">
        <f t="shared" si="14"/>
        <v>0.0017141748781200616</v>
      </c>
      <c r="P66">
        <f t="shared" si="17"/>
        <v>0.002077181907778808</v>
      </c>
      <c r="Q66" s="2">
        <f t="shared" si="18"/>
        <v>38828.9493</v>
      </c>
    </row>
    <row r="67" spans="1:17" ht="12.75">
      <c r="A67" s="37" t="s">
        <v>58</v>
      </c>
      <c r="B67" s="38" t="s">
        <v>37</v>
      </c>
      <c r="C67" s="37">
        <v>54211.4893</v>
      </c>
      <c r="D67" s="37">
        <v>0.0003</v>
      </c>
      <c r="E67" s="39">
        <f t="shared" si="15"/>
        <v>31459.992791944907</v>
      </c>
      <c r="F67" s="39">
        <f t="shared" si="16"/>
        <v>31460</v>
      </c>
      <c r="G67">
        <f t="shared" si="19"/>
        <v>-0.002889915536798071</v>
      </c>
      <c r="I67">
        <f>+G67</f>
        <v>-0.002889915536798071</v>
      </c>
      <c r="O67">
        <f t="shared" si="14"/>
        <v>-0.002354677084950435</v>
      </c>
      <c r="P67">
        <f t="shared" si="17"/>
        <v>-0.0024075786522034515</v>
      </c>
      <c r="Q67" s="2">
        <f t="shared" si="18"/>
        <v>39192.9893</v>
      </c>
    </row>
    <row r="68" spans="1:17" ht="12.75">
      <c r="A68" s="37" t="s">
        <v>58</v>
      </c>
      <c r="B68" s="38" t="s">
        <v>37</v>
      </c>
      <c r="C68" s="37">
        <v>54213.494</v>
      </c>
      <c r="D68" s="37">
        <v>0.0003</v>
      </c>
      <c r="E68" s="39">
        <f t="shared" si="15"/>
        <v>31464.99293394284</v>
      </c>
      <c r="F68" s="39">
        <f t="shared" si="16"/>
        <v>31465</v>
      </c>
      <c r="G68">
        <f t="shared" si="19"/>
        <v>-0.002832984500855673</v>
      </c>
      <c r="I68">
        <f>+G68</f>
        <v>-0.002832984500855673</v>
      </c>
      <c r="O68">
        <f t="shared" si="14"/>
        <v>-0.002377082657434304</v>
      </c>
      <c r="P68">
        <f t="shared" si="17"/>
        <v>-0.0024330010325275264</v>
      </c>
      <c r="Q68" s="2">
        <f t="shared" si="18"/>
        <v>39194.994</v>
      </c>
    </row>
    <row r="69" spans="1:20" ht="12.75">
      <c r="A69" s="47" t="s">
        <v>56</v>
      </c>
      <c r="B69" s="39"/>
      <c r="C69" s="37">
        <v>54233.739</v>
      </c>
      <c r="D69" s="37">
        <v>0.001</v>
      </c>
      <c r="E69" s="39">
        <f t="shared" si="15"/>
        <v>31515.488207424307</v>
      </c>
      <c r="F69" s="39">
        <f t="shared" si="16"/>
        <v>31515.5</v>
      </c>
      <c r="G69">
        <f t="shared" si="19"/>
        <v>-0.004727981024188921</v>
      </c>
      <c r="J69">
        <f>+G69</f>
        <v>-0.004727981024188921</v>
      </c>
      <c r="O69">
        <f t="shared" si="14"/>
        <v>-0.002603378939521367</v>
      </c>
      <c r="P69">
        <f t="shared" si="17"/>
        <v>-0.0026902131575646804</v>
      </c>
      <c r="Q69" s="2">
        <f t="shared" si="18"/>
        <v>39215.239</v>
      </c>
      <c r="R69">
        <f>+(P69-G69)^2</f>
        <v>4.1524978782463085E-06</v>
      </c>
      <c r="S69">
        <f>1/D69^2</f>
        <v>1000000</v>
      </c>
      <c r="T69">
        <f>+R69*S69</f>
        <v>4.152497878246309</v>
      </c>
    </row>
    <row r="70" spans="1:17" ht="12.75">
      <c r="A70" s="37" t="s">
        <v>53</v>
      </c>
      <c r="B70" s="45"/>
      <c r="C70" s="37">
        <v>54240.555</v>
      </c>
      <c r="D70" s="37">
        <v>0.0001</v>
      </c>
      <c r="E70" s="39">
        <f t="shared" si="15"/>
        <v>31532.48874010149</v>
      </c>
      <c r="F70" s="39">
        <f t="shared" si="16"/>
        <v>31532.5</v>
      </c>
      <c r="G70">
        <f t="shared" si="19"/>
        <v>-0.004514415501034819</v>
      </c>
      <c r="I70">
        <f>+G70</f>
        <v>-0.004514415501034819</v>
      </c>
      <c r="O70">
        <f t="shared" si="14"/>
        <v>-0.0026795578859665214</v>
      </c>
      <c r="P70">
        <f t="shared" si="17"/>
        <v>-0.002776982052789534</v>
      </c>
      <c r="Q70" s="2">
        <f t="shared" si="18"/>
        <v>39222.055</v>
      </c>
    </row>
    <row r="71" spans="1:17" ht="12.75">
      <c r="A71" s="37" t="s">
        <v>58</v>
      </c>
      <c r="B71" s="38" t="s">
        <v>37</v>
      </c>
      <c r="C71" s="37">
        <v>54329.3611</v>
      </c>
      <c r="D71" s="37">
        <v>0.0003</v>
      </c>
      <c r="E71" s="39">
        <f t="shared" si="15"/>
        <v>31753.98976782793</v>
      </c>
      <c r="F71" s="39">
        <f t="shared" si="16"/>
        <v>31754</v>
      </c>
      <c r="G71">
        <f t="shared" si="19"/>
        <v>-0.004102370563487057</v>
      </c>
      <c r="I71">
        <f>+G71</f>
        <v>-0.004102370563487057</v>
      </c>
      <c r="O71">
        <f t="shared" si="14"/>
        <v>-0.0036721247470019036</v>
      </c>
      <c r="P71">
        <f t="shared" si="17"/>
        <v>-0.003915937745424619</v>
      </c>
      <c r="Q71" s="2">
        <f t="shared" si="18"/>
        <v>39310.8611</v>
      </c>
    </row>
    <row r="72" spans="1:20" ht="12.75">
      <c r="A72" s="47" t="s">
        <v>57</v>
      </c>
      <c r="B72" s="39"/>
      <c r="C72" s="37">
        <v>54516.9943</v>
      </c>
      <c r="D72" s="37">
        <v>0.0004</v>
      </c>
      <c r="E72" s="39">
        <f t="shared" si="15"/>
        <v>32221.986297746484</v>
      </c>
      <c r="F72" s="39">
        <f t="shared" si="16"/>
        <v>32222</v>
      </c>
      <c r="G72">
        <f t="shared" si="19"/>
        <v>-0.005493625511007849</v>
      </c>
      <c r="J72">
        <f>+G72</f>
        <v>-0.005493625511007849</v>
      </c>
      <c r="O72">
        <f t="shared" si="14"/>
        <v>-0.005769286331491957</v>
      </c>
      <c r="P72">
        <f t="shared" si="17"/>
        <v>-0.006373757916585537</v>
      </c>
      <c r="Q72" s="2">
        <f t="shared" si="18"/>
        <v>39498.4943</v>
      </c>
      <c r="R72">
        <f>+(P72-G72)^2</f>
        <v>7.746330513479683E-07</v>
      </c>
      <c r="S72">
        <f>1/D72^2</f>
        <v>6250000</v>
      </c>
      <c r="T72">
        <f>+R72*S72</f>
        <v>4.841456570924802</v>
      </c>
    </row>
    <row r="73" spans="1:17" ht="12.75">
      <c r="A73" s="16" t="s">
        <v>66</v>
      </c>
      <c r="B73" s="40" t="s">
        <v>37</v>
      </c>
      <c r="C73" s="16">
        <v>54908.4961</v>
      </c>
      <c r="D73" s="16">
        <v>0.0011</v>
      </c>
      <c r="E73" s="39">
        <f t="shared" si="15"/>
        <v>33198.47384822725</v>
      </c>
      <c r="F73" s="39">
        <f t="shared" si="16"/>
        <v>33198.5</v>
      </c>
      <c r="G73">
        <f t="shared" si="19"/>
        <v>-0.010484993996215053</v>
      </c>
      <c r="I73">
        <f>+G73</f>
        <v>-0.010484993996215053</v>
      </c>
      <c r="O73">
        <f t="shared" si="14"/>
        <v>-0.010145094637591473</v>
      </c>
      <c r="P73">
        <f t="shared" si="17"/>
        <v>-0.011726597080230217</v>
      </c>
      <c r="Q73" s="2">
        <f t="shared" si="18"/>
        <v>39889.9961</v>
      </c>
    </row>
    <row r="74" spans="1:17" ht="12.75">
      <c r="A74" s="76" t="s">
        <v>262</v>
      </c>
      <c r="B74" s="77" t="s">
        <v>37</v>
      </c>
      <c r="C74" s="76">
        <v>54932.3537</v>
      </c>
      <c r="D74" s="76" t="s">
        <v>61</v>
      </c>
      <c r="E74" s="39">
        <f t="shared" si="15"/>
        <v>33257.979703332785</v>
      </c>
      <c r="F74" s="39">
        <f t="shared" si="16"/>
        <v>33258</v>
      </c>
      <c r="G74">
        <f t="shared" si="19"/>
        <v>-0.008137514654663391</v>
      </c>
      <c r="N74">
        <f>+G74</f>
        <v>-0.008137514654663391</v>
      </c>
      <c r="O74">
        <f t="shared" si="14"/>
        <v>-0.0104117209501495</v>
      </c>
      <c r="P74">
        <f t="shared" si="17"/>
        <v>-0.012062566637301098</v>
      </c>
      <c r="Q74" s="2">
        <f t="shared" si="18"/>
        <v>39913.8537</v>
      </c>
    </row>
    <row r="75" spans="1:17" ht="12.75">
      <c r="A75" s="16" t="s">
        <v>66</v>
      </c>
      <c r="B75" s="40" t="s">
        <v>37</v>
      </c>
      <c r="C75" s="16">
        <v>54937.3581</v>
      </c>
      <c r="D75" s="16">
        <v>0.001</v>
      </c>
      <c r="E75" s="39">
        <f t="shared" si="15"/>
        <v>33270.46172588702</v>
      </c>
      <c r="F75" s="39">
        <f t="shared" si="16"/>
        <v>33270.5</v>
      </c>
      <c r="G75">
        <f t="shared" si="19"/>
        <v>-0.015345187064667698</v>
      </c>
      <c r="I75">
        <f aca="true" t="shared" si="21" ref="I75:I84">+G75</f>
        <v>-0.015345187064667698</v>
      </c>
      <c r="O75">
        <f t="shared" si="14"/>
        <v>-0.010467734881359159</v>
      </c>
      <c r="P75">
        <f t="shared" si="17"/>
        <v>-0.01213329172040331</v>
      </c>
      <c r="Q75" s="2">
        <f t="shared" si="18"/>
        <v>39918.8581</v>
      </c>
    </row>
    <row r="76" spans="1:17" ht="12.75">
      <c r="A76" s="16" t="s">
        <v>66</v>
      </c>
      <c r="B76" s="40" t="s">
        <v>34</v>
      </c>
      <c r="C76" s="16">
        <v>54937.5646</v>
      </c>
      <c r="D76" s="16">
        <v>0.0005</v>
      </c>
      <c r="E76" s="39">
        <f t="shared" si="15"/>
        <v>33270.97678017074</v>
      </c>
      <c r="F76" s="39">
        <f t="shared" si="16"/>
        <v>33271</v>
      </c>
      <c r="G76">
        <f t="shared" si="19"/>
        <v>-0.009309493958426174</v>
      </c>
      <c r="I76">
        <f t="shared" si="21"/>
        <v>-0.009309493958426174</v>
      </c>
      <c r="O76">
        <f t="shared" si="14"/>
        <v>-0.01046997543860756</v>
      </c>
      <c r="P76">
        <f t="shared" si="17"/>
        <v>-0.012136121758262924</v>
      </c>
      <c r="Q76" s="2">
        <f t="shared" si="18"/>
        <v>39919.0646</v>
      </c>
    </row>
    <row r="77" spans="1:17" ht="12.75">
      <c r="A77" s="16" t="s">
        <v>67</v>
      </c>
      <c r="B77" s="40" t="s">
        <v>34</v>
      </c>
      <c r="C77" s="16">
        <v>55084.3007</v>
      </c>
      <c r="D77" s="16">
        <v>0.0002</v>
      </c>
      <c r="E77" s="39">
        <f t="shared" si="15"/>
        <v>33636.96737039562</v>
      </c>
      <c r="F77" s="39">
        <f t="shared" si="16"/>
        <v>33637</v>
      </c>
      <c r="G77">
        <f t="shared" si="19"/>
        <v>-0.01308214205346303</v>
      </c>
      <c r="I77">
        <f t="shared" si="21"/>
        <v>-0.01308214205346303</v>
      </c>
      <c r="O77">
        <f t="shared" si="14"/>
        <v>-0.012110063344426714</v>
      </c>
      <c r="P77">
        <f t="shared" si="17"/>
        <v>-0.014229058942553302</v>
      </c>
      <c r="Q77" s="2">
        <f t="shared" si="18"/>
        <v>40065.8007</v>
      </c>
    </row>
    <row r="78" spans="1:17" ht="12.75">
      <c r="A78" s="16" t="s">
        <v>67</v>
      </c>
      <c r="B78" s="40" t="s">
        <v>37</v>
      </c>
      <c r="C78" s="16">
        <v>55092.3198</v>
      </c>
      <c r="D78" s="16">
        <v>0.0002</v>
      </c>
      <c r="E78" s="39">
        <f t="shared" si="15"/>
        <v>33656.96868665025</v>
      </c>
      <c r="F78" s="39">
        <f t="shared" si="16"/>
        <v>33657</v>
      </c>
      <c r="G78">
        <f t="shared" si="19"/>
        <v>-0.01255441790272016</v>
      </c>
      <c r="I78">
        <f t="shared" si="21"/>
        <v>-0.01255441790272016</v>
      </c>
      <c r="O78">
        <f t="shared" si="14"/>
        <v>-0.01219968563436219</v>
      </c>
      <c r="P78">
        <f t="shared" si="17"/>
        <v>-0.014344655804594458</v>
      </c>
      <c r="Q78" s="2">
        <f t="shared" si="18"/>
        <v>40073.8198</v>
      </c>
    </row>
    <row r="79" spans="1:17" ht="12.75">
      <c r="A79" s="16" t="s">
        <v>64</v>
      </c>
      <c r="B79" s="40" t="s">
        <v>34</v>
      </c>
      <c r="C79" s="16">
        <v>55311.8299</v>
      </c>
      <c r="D79" s="16">
        <v>0.0005</v>
      </c>
      <c r="E79" s="39">
        <f t="shared" si="15"/>
        <v>34204.47288677089</v>
      </c>
      <c r="F79" s="39">
        <f t="shared" si="16"/>
        <v>34204.5</v>
      </c>
      <c r="G79">
        <f t="shared" si="19"/>
        <v>-0.010870469362998847</v>
      </c>
      <c r="I79">
        <f t="shared" si="21"/>
        <v>-0.010870469362998847</v>
      </c>
      <c r="O79">
        <f t="shared" si="14"/>
        <v>-0.014653095821345774</v>
      </c>
      <c r="P79">
        <f t="shared" si="17"/>
        <v>-0.017558571696176084</v>
      </c>
      <c r="Q79" s="2">
        <f t="shared" si="18"/>
        <v>40293.3299</v>
      </c>
    </row>
    <row r="80" spans="1:17" ht="12.75">
      <c r="A80" s="16" t="s">
        <v>67</v>
      </c>
      <c r="B80" s="40" t="s">
        <v>37</v>
      </c>
      <c r="C80" s="16">
        <v>55341.4961</v>
      </c>
      <c r="D80" s="16">
        <v>0.0022</v>
      </c>
      <c r="E80" s="39">
        <f t="shared" si="15"/>
        <v>34278.466607796116</v>
      </c>
      <c r="F80" s="39">
        <f t="shared" si="16"/>
        <v>34278.5</v>
      </c>
      <c r="G80">
        <f t="shared" si="19"/>
        <v>-0.01338789001601981</v>
      </c>
      <c r="I80">
        <f t="shared" si="21"/>
        <v>-0.01338789001601981</v>
      </c>
      <c r="O80">
        <f t="shared" si="14"/>
        <v>-0.014984698294107035</v>
      </c>
      <c r="P80">
        <f t="shared" si="17"/>
        <v>-0.018000283877016576</v>
      </c>
      <c r="Q80" s="2">
        <f t="shared" si="18"/>
        <v>40322.9961</v>
      </c>
    </row>
    <row r="81" spans="1:17" ht="12.75">
      <c r="A81" s="16" t="s">
        <v>67</v>
      </c>
      <c r="B81" s="40" t="s">
        <v>34</v>
      </c>
      <c r="C81" s="16">
        <v>55358.5328</v>
      </c>
      <c r="D81" s="16">
        <v>0.0013</v>
      </c>
      <c r="E81" s="39">
        <f t="shared" si="15"/>
        <v>34320.95970859739</v>
      </c>
      <c r="F81" s="39">
        <f t="shared" si="16"/>
        <v>34321</v>
      </c>
      <c r="G81">
        <f t="shared" si="19"/>
        <v>-0.01615397619752912</v>
      </c>
      <c r="I81">
        <f t="shared" si="21"/>
        <v>-0.01615397619752912</v>
      </c>
      <c r="O81">
        <f t="shared" si="14"/>
        <v>-0.015175145660219908</v>
      </c>
      <c r="P81">
        <f t="shared" si="17"/>
        <v>-0.01825475796437065</v>
      </c>
      <c r="Q81" s="2">
        <f t="shared" si="18"/>
        <v>40340.0328</v>
      </c>
    </row>
    <row r="82" spans="1:17" ht="12.75">
      <c r="A82" s="60" t="s">
        <v>71</v>
      </c>
      <c r="B82" s="60"/>
      <c r="C82" s="61">
        <v>55388.4044</v>
      </c>
      <c r="D82" s="61">
        <v>0.001</v>
      </c>
      <c r="E82" s="39">
        <f t="shared" si="15"/>
        <v>34395.465740275766</v>
      </c>
      <c r="F82" s="39">
        <f t="shared" si="16"/>
        <v>34395.5</v>
      </c>
      <c r="G82">
        <f t="shared" si="19"/>
        <v>-0.01373570374562405</v>
      </c>
      <c r="I82">
        <f t="shared" si="21"/>
        <v>-0.01373570374562405</v>
      </c>
      <c r="O82">
        <f t="shared" si="14"/>
        <v>-0.015508988690229542</v>
      </c>
      <c r="P82">
        <f t="shared" si="17"/>
        <v>-0.0187022233825877</v>
      </c>
      <c r="Q82" s="2">
        <f t="shared" si="18"/>
        <v>40369.9044</v>
      </c>
    </row>
    <row r="83" spans="1:17" ht="12.75">
      <c r="A83" s="16" t="s">
        <v>68</v>
      </c>
      <c r="B83" s="40" t="s">
        <v>37</v>
      </c>
      <c r="C83" s="16">
        <v>55721.7693</v>
      </c>
      <c r="D83" s="16">
        <v>0.0005</v>
      </c>
      <c r="E83" s="39">
        <f t="shared" si="15"/>
        <v>35226.94767629054</v>
      </c>
      <c r="F83" s="39">
        <f t="shared" si="16"/>
        <v>35227</v>
      </c>
      <c r="G83">
        <f t="shared" si="19"/>
        <v>-0.020978072301659267</v>
      </c>
      <c r="I83">
        <f t="shared" si="21"/>
        <v>-0.020978072301659267</v>
      </c>
      <c r="O83">
        <f t="shared" si="14"/>
        <v>-0.019235035394296857</v>
      </c>
      <c r="P83">
        <f t="shared" si="17"/>
        <v>-0.023816318867146385</v>
      </c>
      <c r="Q83" s="2">
        <f t="shared" si="18"/>
        <v>40703.2693</v>
      </c>
    </row>
    <row r="84" spans="1:17" ht="12.75">
      <c r="A84" s="59" t="s">
        <v>69</v>
      </c>
      <c r="B84" s="49" t="s">
        <v>34</v>
      </c>
      <c r="C84" s="48">
        <v>56132.52</v>
      </c>
      <c r="D84" s="48">
        <v>0.0022</v>
      </c>
      <c r="E84" s="39">
        <f t="shared" si="15"/>
        <v>36251.446018063834</v>
      </c>
      <c r="F84" s="39">
        <f t="shared" si="16"/>
        <v>36251.5</v>
      </c>
      <c r="G84">
        <f t="shared" si="19"/>
        <v>-0.021642902836902067</v>
      </c>
      <c r="I84">
        <f t="shared" si="21"/>
        <v>-0.021642902836902067</v>
      </c>
      <c r="O84">
        <f t="shared" si="14"/>
        <v>-0.023825937196241487</v>
      </c>
      <c r="P84">
        <f t="shared" si="17"/>
        <v>-0.030420087321774564</v>
      </c>
      <c r="Q84" s="2">
        <f t="shared" si="18"/>
        <v>41114.02</v>
      </c>
    </row>
    <row r="85" spans="1:5" ht="12.75">
      <c r="A85" s="39"/>
      <c r="B85" s="39"/>
      <c r="C85" s="39"/>
      <c r="D85" s="39"/>
      <c r="E85" s="39"/>
    </row>
    <row r="86" spans="1:5" ht="12.75">
      <c r="A86" s="39"/>
      <c r="B86" s="39"/>
      <c r="C86" s="39"/>
      <c r="D86" s="39"/>
      <c r="E86" s="39"/>
    </row>
    <row r="87" spans="1:5" ht="12.75">
      <c r="A87" s="39"/>
      <c r="B87" s="39"/>
      <c r="C87" s="39"/>
      <c r="D87" s="39"/>
      <c r="E87" s="39"/>
    </row>
    <row r="88" spans="1:5" ht="12.75">
      <c r="A88" s="39"/>
      <c r="B88" s="39"/>
      <c r="C88" s="39"/>
      <c r="D88" s="39"/>
      <c r="E88" s="39"/>
    </row>
    <row r="89" spans="1:5" ht="12.75">
      <c r="A89" s="39"/>
      <c r="B89" s="39"/>
      <c r="C89" s="39"/>
      <c r="D89" s="39"/>
      <c r="E89" s="39"/>
    </row>
    <row r="90" spans="1:5" ht="12.75">
      <c r="A90" s="39"/>
      <c r="B90" s="39"/>
      <c r="C90" s="39"/>
      <c r="D90" s="39"/>
      <c r="E90" s="39"/>
    </row>
    <row r="91" spans="1:5" ht="12.75">
      <c r="A91" s="39"/>
      <c r="B91" s="39"/>
      <c r="C91" s="39"/>
      <c r="D91" s="39"/>
      <c r="E91" s="39"/>
    </row>
    <row r="92" spans="1:5" ht="12.75">
      <c r="A92" s="39"/>
      <c r="B92" s="39"/>
      <c r="C92" s="39"/>
      <c r="D92" s="39"/>
      <c r="E92" s="39"/>
    </row>
    <row r="93" spans="1:5" ht="12.75">
      <c r="A93" s="39"/>
      <c r="B93" s="39"/>
      <c r="C93" s="39"/>
      <c r="D93" s="39"/>
      <c r="E93" s="39"/>
    </row>
    <row r="94" spans="1:5" ht="12.75">
      <c r="A94" s="39"/>
      <c r="B94" s="39"/>
      <c r="C94" s="39"/>
      <c r="D94" s="39"/>
      <c r="E94" s="39"/>
    </row>
    <row r="95" spans="1:5" ht="12.75">
      <c r="A95" s="39"/>
      <c r="B95" s="39"/>
      <c r="C95" s="39"/>
      <c r="D95" s="39"/>
      <c r="E95" s="39"/>
    </row>
    <row r="96" spans="1:5" ht="12.75">
      <c r="A96" s="39"/>
      <c r="B96" s="39"/>
      <c r="C96" s="39"/>
      <c r="D96" s="39"/>
      <c r="E96" s="39"/>
    </row>
    <row r="97" spans="1:5" ht="12.75">
      <c r="A97" s="39"/>
      <c r="B97" s="39"/>
      <c r="C97" s="39"/>
      <c r="D97" s="39"/>
      <c r="E97" s="39"/>
    </row>
    <row r="98" spans="1:5" ht="12.75">
      <c r="A98" s="39"/>
      <c r="B98" s="39"/>
      <c r="C98" s="39"/>
      <c r="D98" s="39"/>
      <c r="E98" s="39"/>
    </row>
  </sheetData>
  <sheetProtection/>
  <printOptions/>
  <pageMargins left="0.75" right="0.75" top="1" bottom="1" header="0.5" footer="0.5"/>
  <pageSetup horizontalDpi="600" verticalDpi="600" orientation="portrait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D25" sqref="D2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ht="12.75">
      <c r="A2" t="s">
        <v>26</v>
      </c>
    </row>
    <row r="3" ht="13.5" thickBot="1"/>
    <row r="4" spans="1:4" ht="13.5" thickBot="1">
      <c r="A4" s="8" t="s">
        <v>0</v>
      </c>
      <c r="C4" s="11">
        <v>41598.278</v>
      </c>
      <c r="D4" s="12">
        <v>0.33587</v>
      </c>
    </row>
    <row r="5" ht="12.75">
      <c r="D5" s="25" t="s">
        <v>41</v>
      </c>
    </row>
    <row r="6" ht="12.75">
      <c r="A6" s="8" t="s">
        <v>1</v>
      </c>
    </row>
    <row r="7" spans="1:3" ht="12.75">
      <c r="A7" t="s">
        <v>2</v>
      </c>
      <c r="C7">
        <f>+C4</f>
        <v>41598.278</v>
      </c>
    </row>
    <row r="8" spans="1:3" ht="12.75">
      <c r="A8" t="s">
        <v>3</v>
      </c>
      <c r="C8">
        <f>+D4</f>
        <v>0.33587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INTERCEPT(G21:G999,$F21:$F999)</f>
        <v>-0.028506630431541377</v>
      </c>
      <c r="D11" s="6"/>
    </row>
    <row r="12" spans="1:4" ht="12.75">
      <c r="A12" t="s">
        <v>17</v>
      </c>
      <c r="C12">
        <f>SLOPE(G21:G999,$F21:$F999)</f>
        <v>1.153297883553705E-06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3" t="s">
        <v>18</v>
      </c>
      <c r="C15">
        <f>+C7+C11</f>
        <v>41598.24949336956</v>
      </c>
    </row>
    <row r="16" spans="1:3" ht="12.75">
      <c r="A16" s="8" t="s">
        <v>4</v>
      </c>
      <c r="C16">
        <f>+C8+C12</f>
        <v>0.33587115329788353</v>
      </c>
    </row>
    <row r="17" ht="13.5" thickBot="1"/>
    <row r="18" spans="1:4" ht="12.75">
      <c r="A18" s="8" t="s">
        <v>5</v>
      </c>
      <c r="C18" s="4">
        <f>+C15</f>
        <v>41598.24949336956</v>
      </c>
      <c r="D18" s="5">
        <f>+C16</f>
        <v>0.33587115329788353</v>
      </c>
    </row>
    <row r="19" ht="13.5" thickTop="1">
      <c r="C19">
        <f>COUNT(C21:C2191)</f>
        <v>26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38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>
        <f>+C4</f>
        <v>41598.278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-0.028506630431541377</v>
      </c>
      <c r="Q21" s="2">
        <f>+C21-15018.5</f>
        <v>26579.778</v>
      </c>
    </row>
    <row r="22" spans="1:17" ht="12.75">
      <c r="A22" s="13" t="s">
        <v>32</v>
      </c>
      <c r="B22" s="14"/>
      <c r="C22" s="15">
        <v>50946.3488</v>
      </c>
      <c r="D22" s="14">
        <v>0.0014</v>
      </c>
      <c r="E22">
        <f aca="true" t="shared" si="0" ref="E22:E46">+(C22-C$7)/C$8</f>
        <v>27832.407776818414</v>
      </c>
      <c r="F22">
        <f aca="true" t="shared" si="1" ref="F22:F46">ROUND(2*E22,0)/2</f>
        <v>27832.5</v>
      </c>
      <c r="G22">
        <f aca="true" t="shared" si="2" ref="G22:G46">+C22-(C$7+F22*C$8)</f>
        <v>-0.03097499999421416</v>
      </c>
      <c r="I22">
        <f aca="true" t="shared" si="3" ref="I22:I46">+G22</f>
        <v>-0.03097499999421416</v>
      </c>
      <c r="O22">
        <f aca="true" t="shared" si="4" ref="O22:O46">+C$11+C$12*$F22</f>
        <v>0.003592532912467118</v>
      </c>
      <c r="Q22" s="2">
        <f aca="true" t="shared" si="5" ref="Q22:Q46">+C22-15018.5</f>
        <v>35927.8488</v>
      </c>
    </row>
    <row r="23" spans="1:17" ht="12.75">
      <c r="A23" s="13" t="s">
        <v>32</v>
      </c>
      <c r="B23" s="14"/>
      <c r="C23" s="15">
        <v>51045.3824</v>
      </c>
      <c r="D23" s="14">
        <v>0.0024</v>
      </c>
      <c r="E23">
        <f t="shared" si="0"/>
        <v>28127.264715514943</v>
      </c>
      <c r="F23">
        <f t="shared" si="1"/>
        <v>28127.5</v>
      </c>
      <c r="G23">
        <f t="shared" si="2"/>
        <v>-0.07902499999909196</v>
      </c>
      <c r="I23">
        <f t="shared" si="3"/>
        <v>-0.07902499999909196</v>
      </c>
      <c r="O23">
        <f t="shared" si="4"/>
        <v>0.003932755788115465</v>
      </c>
      <c r="Q23" s="2">
        <f t="shared" si="5"/>
        <v>36026.8824</v>
      </c>
    </row>
    <row r="24" spans="1:17" ht="12.75">
      <c r="A24" s="16" t="s">
        <v>33</v>
      </c>
      <c r="B24" s="17" t="s">
        <v>34</v>
      </c>
      <c r="C24" s="18">
        <v>51270.5027</v>
      </c>
      <c r="D24" s="17">
        <v>0.0028</v>
      </c>
      <c r="E24">
        <f t="shared" si="0"/>
        <v>28797.5249352428</v>
      </c>
      <c r="F24">
        <f t="shared" si="1"/>
        <v>28797.5</v>
      </c>
      <c r="G24">
        <f t="shared" si="2"/>
        <v>0.008374999997613486</v>
      </c>
      <c r="I24">
        <f t="shared" si="3"/>
        <v>0.008374999997613486</v>
      </c>
      <c r="O24">
        <f t="shared" si="4"/>
        <v>0.0047054653700964455</v>
      </c>
      <c r="Q24" s="2">
        <f t="shared" si="5"/>
        <v>36252.0027</v>
      </c>
    </row>
    <row r="25" spans="1:17" ht="12.75">
      <c r="A25" s="16" t="s">
        <v>33</v>
      </c>
      <c r="B25" s="17" t="s">
        <v>34</v>
      </c>
      <c r="C25" s="18">
        <v>51274.512</v>
      </c>
      <c r="D25" s="17">
        <v>0.0042</v>
      </c>
      <c r="E25">
        <f t="shared" si="0"/>
        <v>28809.461994223966</v>
      </c>
      <c r="F25">
        <f t="shared" si="1"/>
        <v>28809.5</v>
      </c>
      <c r="G25">
        <f t="shared" si="2"/>
        <v>-0.012764999992214143</v>
      </c>
      <c r="I25">
        <f t="shared" si="3"/>
        <v>-0.012764999992214143</v>
      </c>
      <c r="O25">
        <f t="shared" si="4"/>
        <v>0.00471930494469909</v>
      </c>
      <c r="Q25" s="2">
        <f t="shared" si="5"/>
        <v>36256.012</v>
      </c>
    </row>
    <row r="26" spans="1:17" ht="12.75">
      <c r="A26" s="19" t="s">
        <v>35</v>
      </c>
      <c r="B26" s="17" t="s">
        <v>34</v>
      </c>
      <c r="C26" s="18">
        <v>51657.3973</v>
      </c>
      <c r="D26" s="20">
        <v>0.0056</v>
      </c>
      <c r="E26">
        <f t="shared" si="0"/>
        <v>29949.442641498194</v>
      </c>
      <c r="F26">
        <f t="shared" si="1"/>
        <v>29949.5</v>
      </c>
      <c r="G26">
        <f t="shared" si="2"/>
        <v>-0.019265000002633315</v>
      </c>
      <c r="I26">
        <f t="shared" si="3"/>
        <v>-0.019265000002633315</v>
      </c>
      <c r="O26">
        <f t="shared" si="4"/>
        <v>0.006034064531950316</v>
      </c>
      <c r="Q26" s="2">
        <f t="shared" si="5"/>
        <v>36638.8973</v>
      </c>
    </row>
    <row r="27" spans="1:17" ht="12.75">
      <c r="A27" s="19" t="s">
        <v>35</v>
      </c>
      <c r="B27" s="17" t="s">
        <v>34</v>
      </c>
      <c r="C27" s="18">
        <v>51657.3973</v>
      </c>
      <c r="D27" s="17">
        <v>0.0056</v>
      </c>
      <c r="E27">
        <f t="shared" si="0"/>
        <v>29949.442641498194</v>
      </c>
      <c r="F27">
        <f t="shared" si="1"/>
        <v>29949.5</v>
      </c>
      <c r="G27">
        <f t="shared" si="2"/>
        <v>-0.019265000002633315</v>
      </c>
      <c r="I27">
        <f t="shared" si="3"/>
        <v>-0.019265000002633315</v>
      </c>
      <c r="O27">
        <f t="shared" si="4"/>
        <v>0.006034064531950316</v>
      </c>
      <c r="Q27" s="2">
        <f t="shared" si="5"/>
        <v>36638.8973</v>
      </c>
    </row>
    <row r="28" spans="1:17" ht="12.75">
      <c r="A28" s="16" t="s">
        <v>36</v>
      </c>
      <c r="B28" s="17" t="s">
        <v>37</v>
      </c>
      <c r="C28" s="18">
        <v>51672.4321</v>
      </c>
      <c r="D28" s="17">
        <v>0.0029</v>
      </c>
      <c r="E28">
        <f t="shared" si="0"/>
        <v>29994.206389376843</v>
      </c>
      <c r="F28">
        <f t="shared" si="1"/>
        <v>29994</v>
      </c>
      <c r="G28">
        <f t="shared" si="2"/>
        <v>0.06932000000233529</v>
      </c>
      <c r="I28">
        <f t="shared" si="3"/>
        <v>0.06932000000233529</v>
      </c>
      <c r="O28">
        <f t="shared" si="4"/>
        <v>0.006085386287768453</v>
      </c>
      <c r="Q28" s="2">
        <f t="shared" si="5"/>
        <v>36653.9321</v>
      </c>
    </row>
    <row r="29" spans="1:17" ht="12.75">
      <c r="A29" s="16" t="s">
        <v>36</v>
      </c>
      <c r="B29" s="17" t="s">
        <v>37</v>
      </c>
      <c r="C29" s="18">
        <v>51675.4359</v>
      </c>
      <c r="D29" s="17">
        <v>0.0031</v>
      </c>
      <c r="E29">
        <f t="shared" si="0"/>
        <v>30003.149730550507</v>
      </c>
      <c r="F29">
        <f t="shared" si="1"/>
        <v>30003</v>
      </c>
      <c r="G29">
        <f t="shared" si="2"/>
        <v>0.050289999999222346</v>
      </c>
      <c r="I29">
        <f t="shared" si="3"/>
        <v>0.050289999999222346</v>
      </c>
      <c r="O29">
        <f t="shared" si="4"/>
        <v>0.00609576596872044</v>
      </c>
      <c r="Q29" s="2">
        <f t="shared" si="5"/>
        <v>36656.9359</v>
      </c>
    </row>
    <row r="30" spans="1:17" ht="12.75">
      <c r="A30" s="19" t="s">
        <v>35</v>
      </c>
      <c r="B30" s="17" t="s">
        <v>37</v>
      </c>
      <c r="C30" s="18">
        <v>51694.4829</v>
      </c>
      <c r="D30" s="20">
        <v>0.0055</v>
      </c>
      <c r="E30">
        <f t="shared" si="0"/>
        <v>30059.85917170335</v>
      </c>
      <c r="F30">
        <f t="shared" si="1"/>
        <v>30060</v>
      </c>
      <c r="G30">
        <f t="shared" si="2"/>
        <v>-0.047299999998358544</v>
      </c>
      <c r="I30">
        <f t="shared" si="3"/>
        <v>-0.047299999998358544</v>
      </c>
      <c r="O30">
        <f t="shared" si="4"/>
        <v>0.006161503948083</v>
      </c>
      <c r="Q30" s="2">
        <f t="shared" si="5"/>
        <v>36675.9829</v>
      </c>
    </row>
    <row r="31" spans="1:17" ht="12.75">
      <c r="A31" s="19" t="s">
        <v>35</v>
      </c>
      <c r="B31" s="17" t="s">
        <v>37</v>
      </c>
      <c r="C31" s="18">
        <v>51694.4829</v>
      </c>
      <c r="D31" s="17">
        <v>0.0055</v>
      </c>
      <c r="E31">
        <f t="shared" si="0"/>
        <v>30059.85917170335</v>
      </c>
      <c r="F31">
        <f t="shared" si="1"/>
        <v>30060</v>
      </c>
      <c r="G31">
        <f t="shared" si="2"/>
        <v>-0.047299999998358544</v>
      </c>
      <c r="I31">
        <f t="shared" si="3"/>
        <v>-0.047299999998358544</v>
      </c>
      <c r="O31">
        <f t="shared" si="4"/>
        <v>0.006161503948083</v>
      </c>
      <c r="Q31" s="2">
        <f t="shared" si="5"/>
        <v>36675.9829</v>
      </c>
    </row>
    <row r="32" spans="1:17" ht="12.75">
      <c r="A32" s="16" t="s">
        <v>36</v>
      </c>
      <c r="B32" s="17" t="s">
        <v>37</v>
      </c>
      <c r="C32" s="18">
        <v>51697.4908</v>
      </c>
      <c r="D32" s="17">
        <v>0.0027</v>
      </c>
      <c r="E32">
        <f t="shared" si="0"/>
        <v>30068.81471998095</v>
      </c>
      <c r="F32">
        <f t="shared" si="1"/>
        <v>30069</v>
      </c>
      <c r="G32">
        <f t="shared" si="2"/>
        <v>-0.06222999999590684</v>
      </c>
      <c r="I32">
        <f t="shared" si="3"/>
        <v>-0.06222999999590684</v>
      </c>
      <c r="O32">
        <f t="shared" si="4"/>
        <v>0.00617188362903498</v>
      </c>
      <c r="Q32" s="2">
        <f t="shared" si="5"/>
        <v>36678.9908</v>
      </c>
    </row>
    <row r="33" spans="1:17" ht="12.75">
      <c r="A33" s="19" t="s">
        <v>35</v>
      </c>
      <c r="B33" s="17" t="s">
        <v>37</v>
      </c>
      <c r="C33" s="18">
        <v>51714.5339</v>
      </c>
      <c r="D33" s="20">
        <v>0.0067</v>
      </c>
      <c r="E33">
        <f t="shared" si="0"/>
        <v>30119.557864650025</v>
      </c>
      <c r="F33">
        <f t="shared" si="1"/>
        <v>30119.5</v>
      </c>
      <c r="G33">
        <f t="shared" si="2"/>
        <v>0.019435000001976732</v>
      </c>
      <c r="I33">
        <f t="shared" si="3"/>
        <v>0.019435000001976732</v>
      </c>
      <c r="O33">
        <f t="shared" si="4"/>
        <v>0.0062301251721544465</v>
      </c>
      <c r="Q33" s="2">
        <f t="shared" si="5"/>
        <v>36696.0339</v>
      </c>
    </row>
    <row r="34" spans="1:17" ht="12.75">
      <c r="A34" s="19" t="s">
        <v>35</v>
      </c>
      <c r="B34" s="17" t="s">
        <v>37</v>
      </c>
      <c r="C34" s="18">
        <v>51714.5339</v>
      </c>
      <c r="D34" s="17">
        <v>0.0067</v>
      </c>
      <c r="E34">
        <f t="shared" si="0"/>
        <v>30119.557864650025</v>
      </c>
      <c r="F34">
        <f t="shared" si="1"/>
        <v>30119.5</v>
      </c>
      <c r="G34">
        <f t="shared" si="2"/>
        <v>0.019435000001976732</v>
      </c>
      <c r="I34">
        <f t="shared" si="3"/>
        <v>0.019435000001976732</v>
      </c>
      <c r="O34">
        <f t="shared" si="4"/>
        <v>0.0062301251721544465</v>
      </c>
      <c r="Q34" s="2">
        <f t="shared" si="5"/>
        <v>36696.0339</v>
      </c>
    </row>
    <row r="35" spans="1:17" ht="12.75">
      <c r="A35" s="19" t="s">
        <v>35</v>
      </c>
      <c r="B35" s="17" t="s">
        <v>34</v>
      </c>
      <c r="C35" s="18">
        <v>51752.4178</v>
      </c>
      <c r="D35" s="20">
        <v>0.0049</v>
      </c>
      <c r="E35">
        <f t="shared" si="0"/>
        <v>30232.351207312367</v>
      </c>
      <c r="F35">
        <f t="shared" si="1"/>
        <v>30232.5</v>
      </c>
      <c r="G35">
        <f t="shared" si="2"/>
        <v>-0.04997499999444699</v>
      </c>
      <c r="I35">
        <f t="shared" si="3"/>
        <v>-0.04997499999444699</v>
      </c>
      <c r="O35">
        <f t="shared" si="4"/>
        <v>0.006360447832996011</v>
      </c>
      <c r="Q35" s="2">
        <f t="shared" si="5"/>
        <v>36733.9178</v>
      </c>
    </row>
    <row r="36" spans="1:17" ht="12.75">
      <c r="A36" s="19" t="s">
        <v>35</v>
      </c>
      <c r="B36" s="17" t="s">
        <v>34</v>
      </c>
      <c r="C36" s="18">
        <v>51752.4178</v>
      </c>
      <c r="D36" s="17">
        <v>0.0049</v>
      </c>
      <c r="E36">
        <f t="shared" si="0"/>
        <v>30232.351207312367</v>
      </c>
      <c r="F36">
        <f t="shared" si="1"/>
        <v>30232.5</v>
      </c>
      <c r="G36">
        <f t="shared" si="2"/>
        <v>-0.04997499999444699</v>
      </c>
      <c r="I36">
        <f t="shared" si="3"/>
        <v>-0.04997499999444699</v>
      </c>
      <c r="O36">
        <f t="shared" si="4"/>
        <v>0.006360447832996011</v>
      </c>
      <c r="Q36" s="2">
        <f t="shared" si="5"/>
        <v>36733.9178</v>
      </c>
    </row>
    <row r="37" spans="1:17" ht="12.75">
      <c r="A37" s="19" t="s">
        <v>35</v>
      </c>
      <c r="B37" s="17" t="s">
        <v>34</v>
      </c>
      <c r="C37" s="18">
        <v>51965.7119</v>
      </c>
      <c r="D37" s="20">
        <v>0.0042</v>
      </c>
      <c r="E37">
        <f t="shared" si="0"/>
        <v>30867.400780063726</v>
      </c>
      <c r="F37">
        <f t="shared" si="1"/>
        <v>30867.5</v>
      </c>
      <c r="G37">
        <f t="shared" si="2"/>
        <v>-0.033324999996693805</v>
      </c>
      <c r="I37">
        <f t="shared" si="3"/>
        <v>-0.033324999996693805</v>
      </c>
      <c r="O37">
        <f t="shared" si="4"/>
        <v>0.007092791989052612</v>
      </c>
      <c r="Q37" s="2">
        <f t="shared" si="5"/>
        <v>36947.2119</v>
      </c>
    </row>
    <row r="38" spans="1:17" ht="12.75">
      <c r="A38" s="19" t="s">
        <v>35</v>
      </c>
      <c r="B38" s="17" t="s">
        <v>34</v>
      </c>
      <c r="C38" s="18">
        <v>51965.7119</v>
      </c>
      <c r="D38" s="17">
        <v>0.0042</v>
      </c>
      <c r="E38">
        <f t="shared" si="0"/>
        <v>30867.400780063726</v>
      </c>
      <c r="F38">
        <f t="shared" si="1"/>
        <v>30867.5</v>
      </c>
      <c r="G38">
        <f t="shared" si="2"/>
        <v>-0.033324999996693805</v>
      </c>
      <c r="I38">
        <f t="shared" si="3"/>
        <v>-0.033324999996693805</v>
      </c>
      <c r="O38">
        <f t="shared" si="4"/>
        <v>0.007092791989052612</v>
      </c>
      <c r="Q38" s="2">
        <f t="shared" si="5"/>
        <v>36947.2119</v>
      </c>
    </row>
    <row r="39" spans="1:17" ht="12.75">
      <c r="A39" s="19" t="s">
        <v>35</v>
      </c>
      <c r="B39" s="17" t="s">
        <v>34</v>
      </c>
      <c r="C39" s="18">
        <v>51982.5513</v>
      </c>
      <c r="D39" s="20">
        <v>0.0034</v>
      </c>
      <c r="E39">
        <f t="shared" si="0"/>
        <v>30917.537440080985</v>
      </c>
      <c r="F39">
        <f t="shared" si="1"/>
        <v>30917.5</v>
      </c>
      <c r="G39">
        <f t="shared" si="2"/>
        <v>0.012575000000651926</v>
      </c>
      <c r="I39">
        <f t="shared" si="3"/>
        <v>0.012575000000651926</v>
      </c>
      <c r="O39">
        <f t="shared" si="4"/>
        <v>0.007150456883230301</v>
      </c>
      <c r="Q39" s="2">
        <f t="shared" si="5"/>
        <v>36964.0513</v>
      </c>
    </row>
    <row r="40" spans="1:17" ht="12.75">
      <c r="A40" s="19" t="s">
        <v>35</v>
      </c>
      <c r="B40" s="17" t="s">
        <v>34</v>
      </c>
      <c r="C40" s="18">
        <v>51982.5513</v>
      </c>
      <c r="D40" s="17">
        <v>0.0034</v>
      </c>
      <c r="E40">
        <f t="shared" si="0"/>
        <v>30917.537440080985</v>
      </c>
      <c r="F40">
        <f t="shared" si="1"/>
        <v>30917.5</v>
      </c>
      <c r="G40">
        <f t="shared" si="2"/>
        <v>0.012575000000651926</v>
      </c>
      <c r="I40">
        <f t="shared" si="3"/>
        <v>0.012575000000651926</v>
      </c>
      <c r="O40">
        <f t="shared" si="4"/>
        <v>0.007150456883230301</v>
      </c>
      <c r="Q40" s="2">
        <f t="shared" si="5"/>
        <v>36964.0513</v>
      </c>
    </row>
    <row r="41" spans="1:17" ht="12.75">
      <c r="A41" s="19" t="s">
        <v>35</v>
      </c>
      <c r="B41" s="17" t="s">
        <v>34</v>
      </c>
      <c r="C41" s="18">
        <v>52002.5959</v>
      </c>
      <c r="D41" s="20">
        <v>0.0016</v>
      </c>
      <c r="E41">
        <f t="shared" si="0"/>
        <v>30977.21707803615</v>
      </c>
      <c r="F41">
        <f t="shared" si="1"/>
        <v>30977</v>
      </c>
      <c r="G41">
        <f t="shared" si="2"/>
        <v>0.07291000000259373</v>
      </c>
      <c r="I41">
        <f t="shared" si="3"/>
        <v>0.07291000000259373</v>
      </c>
      <c r="O41">
        <f t="shared" si="4"/>
        <v>0.007219078107301748</v>
      </c>
      <c r="Q41" s="2">
        <f t="shared" si="5"/>
        <v>36984.0959</v>
      </c>
    </row>
    <row r="42" spans="1:17" ht="12.75">
      <c r="A42" s="19" t="s">
        <v>35</v>
      </c>
      <c r="B42" s="17" t="s">
        <v>34</v>
      </c>
      <c r="C42" s="18">
        <v>52002.5959</v>
      </c>
      <c r="D42" s="17">
        <v>0.0016</v>
      </c>
      <c r="E42">
        <f t="shared" si="0"/>
        <v>30977.21707803615</v>
      </c>
      <c r="F42">
        <f t="shared" si="1"/>
        <v>30977</v>
      </c>
      <c r="G42">
        <f t="shared" si="2"/>
        <v>0.07291000000259373</v>
      </c>
      <c r="I42">
        <f t="shared" si="3"/>
        <v>0.07291000000259373</v>
      </c>
      <c r="O42">
        <f t="shared" si="4"/>
        <v>0.007219078107301748</v>
      </c>
      <c r="Q42" s="2">
        <f t="shared" si="5"/>
        <v>36984.0959</v>
      </c>
    </row>
    <row r="43" spans="1:17" ht="12.75">
      <c r="A43" s="19" t="s">
        <v>35</v>
      </c>
      <c r="B43" s="17" t="s">
        <v>34</v>
      </c>
      <c r="C43" s="18">
        <v>52031.4728</v>
      </c>
      <c r="D43" s="20">
        <v>0.0028</v>
      </c>
      <c r="E43">
        <f t="shared" si="0"/>
        <v>31063.19349748416</v>
      </c>
      <c r="F43">
        <f t="shared" si="1"/>
        <v>31063</v>
      </c>
      <c r="G43">
        <f t="shared" si="2"/>
        <v>0.0649900000062189</v>
      </c>
      <c r="I43">
        <f t="shared" si="3"/>
        <v>0.0649900000062189</v>
      </c>
      <c r="O43">
        <f t="shared" si="4"/>
        <v>0.007318261725287364</v>
      </c>
      <c r="Q43" s="2">
        <f t="shared" si="5"/>
        <v>37012.9728</v>
      </c>
    </row>
    <row r="44" spans="1:17" ht="12.75">
      <c r="A44" s="19" t="s">
        <v>35</v>
      </c>
      <c r="B44" s="17" t="s">
        <v>34</v>
      </c>
      <c r="C44" s="18">
        <v>52031.4728</v>
      </c>
      <c r="D44" s="17">
        <v>0.0028</v>
      </c>
      <c r="E44">
        <f t="shared" si="0"/>
        <v>31063.19349748416</v>
      </c>
      <c r="F44">
        <f t="shared" si="1"/>
        <v>31063</v>
      </c>
      <c r="G44">
        <f t="shared" si="2"/>
        <v>0.0649900000062189</v>
      </c>
      <c r="I44">
        <f t="shared" si="3"/>
        <v>0.0649900000062189</v>
      </c>
      <c r="O44">
        <f t="shared" si="4"/>
        <v>0.007318261725287364</v>
      </c>
      <c r="Q44" s="2">
        <f t="shared" si="5"/>
        <v>37012.9728</v>
      </c>
    </row>
    <row r="45" spans="1:17" ht="12.75">
      <c r="A45" s="19" t="s">
        <v>35</v>
      </c>
      <c r="B45" s="17" t="s">
        <v>34</v>
      </c>
      <c r="C45" s="18">
        <v>52828.5028</v>
      </c>
      <c r="D45" s="20">
        <v>0.0043</v>
      </c>
      <c r="E45">
        <f t="shared" si="0"/>
        <v>33436.224729806185</v>
      </c>
      <c r="F45">
        <f t="shared" si="1"/>
        <v>33436</v>
      </c>
      <c r="G45">
        <f t="shared" si="2"/>
        <v>0.07547999999951571</v>
      </c>
      <c r="I45">
        <f t="shared" si="3"/>
        <v>0.07547999999951571</v>
      </c>
      <c r="O45">
        <f t="shared" si="4"/>
        <v>0.01005503760296031</v>
      </c>
      <c r="Q45" s="2">
        <f t="shared" si="5"/>
        <v>37810.0028</v>
      </c>
    </row>
    <row r="46" spans="1:17" ht="12.75">
      <c r="A46" s="19" t="s">
        <v>35</v>
      </c>
      <c r="B46" s="17" t="s">
        <v>34</v>
      </c>
      <c r="C46" s="18">
        <v>52828.5028</v>
      </c>
      <c r="D46" s="17">
        <v>0.0043</v>
      </c>
      <c r="E46">
        <f t="shared" si="0"/>
        <v>33436.224729806185</v>
      </c>
      <c r="F46">
        <f t="shared" si="1"/>
        <v>33436</v>
      </c>
      <c r="G46">
        <f t="shared" si="2"/>
        <v>0.07547999999951571</v>
      </c>
      <c r="I46">
        <f t="shared" si="3"/>
        <v>0.07547999999951571</v>
      </c>
      <c r="O46">
        <f t="shared" si="4"/>
        <v>0.01005503760296031</v>
      </c>
      <c r="Q46" s="2">
        <f t="shared" si="5"/>
        <v>37810.0028</v>
      </c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ht="12.75">
      <c r="A2" t="s">
        <v>26</v>
      </c>
    </row>
    <row r="3" ht="13.5" thickBot="1"/>
    <row r="4" spans="1:4" ht="13.5" thickBot="1">
      <c r="A4" s="8" t="s">
        <v>0</v>
      </c>
      <c r="C4" s="11">
        <v>41598.278</v>
      </c>
      <c r="D4" s="12">
        <v>0.33587</v>
      </c>
    </row>
    <row r="6" ht="12.75">
      <c r="A6" s="8" t="s">
        <v>1</v>
      </c>
    </row>
    <row r="7" spans="1:4" ht="12.75">
      <c r="A7" t="s">
        <v>2</v>
      </c>
      <c r="C7">
        <f>+C4</f>
        <v>41598.278</v>
      </c>
      <c r="D7" s="22" t="s">
        <v>39</v>
      </c>
    </row>
    <row r="8" spans="1:4" ht="12.75">
      <c r="A8" t="s">
        <v>3</v>
      </c>
      <c r="C8" s="24">
        <v>0.400886</v>
      </c>
      <c r="D8" s="23" t="s">
        <v>40</v>
      </c>
    </row>
    <row r="9" ht="12.75">
      <c r="D9" s="25" t="s">
        <v>43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INTERCEPT(G22:G36,$F22:$F36)</f>
        <v>-0.9807919135223915</v>
      </c>
      <c r="D11" s="6"/>
    </row>
    <row r="12" spans="1:4" ht="12.75">
      <c r="A12" t="s">
        <v>17</v>
      </c>
      <c r="C12">
        <f>SLOPE(G22:G36,$F22:$F36)</f>
        <v>4.261379261091452E-05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3" t="s">
        <v>18</v>
      </c>
      <c r="C15">
        <f>+C7+C11</f>
        <v>41597.29720808648</v>
      </c>
    </row>
    <row r="16" spans="1:3" ht="12.75">
      <c r="A16" s="8" t="s">
        <v>4</v>
      </c>
      <c r="C16">
        <f>+C8+C12</f>
        <v>0.4009286137926109</v>
      </c>
    </row>
    <row r="17" ht="13.5" thickBot="1"/>
    <row r="18" spans="1:4" ht="12.75">
      <c r="A18" s="8" t="s">
        <v>5</v>
      </c>
      <c r="C18" s="4">
        <f>+C15</f>
        <v>41597.29720808648</v>
      </c>
      <c r="D18" s="5">
        <f>+C16</f>
        <v>0.4009286137926109</v>
      </c>
    </row>
    <row r="19" ht="13.5" thickTop="1">
      <c r="C19">
        <f>COUNT(C21:C2191)</f>
        <v>26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38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>
        <f>+C4</f>
        <v>41598.278</v>
      </c>
      <c r="D21" s="6" t="s">
        <v>14</v>
      </c>
      <c r="E21">
        <f aca="true" t="shared" si="0" ref="E21:E46">+(C21-C$7)/C$8</f>
        <v>0</v>
      </c>
      <c r="F21">
        <f aca="true" t="shared" si="1" ref="F21:F46">ROUND(2*E21,0)/2</f>
        <v>0</v>
      </c>
      <c r="G21">
        <f aca="true" t="shared" si="2" ref="G21:G46">+C21-(C$7+F21*C$8)</f>
        <v>0</v>
      </c>
      <c r="H21">
        <f>+G21</f>
        <v>0</v>
      </c>
      <c r="O21">
        <f aca="true" t="shared" si="3" ref="O21:O46">+C$11+C$12*$F21</f>
        <v>-0.9807919135223915</v>
      </c>
      <c r="Q21" s="2">
        <f aca="true" t="shared" si="4" ref="Q21:Q46">+C21-15018.5</f>
        <v>26579.778</v>
      </c>
    </row>
    <row r="22" spans="1:17" ht="12.75">
      <c r="A22" s="13" t="s">
        <v>32</v>
      </c>
      <c r="B22" s="14"/>
      <c r="C22" s="15">
        <v>50946.3488</v>
      </c>
      <c r="D22" s="14">
        <v>0.0014</v>
      </c>
      <c r="E22">
        <f t="shared" si="0"/>
        <v>23318.526463882503</v>
      </c>
      <c r="F22" s="8">
        <f t="shared" si="1"/>
        <v>23318.5</v>
      </c>
      <c r="G22">
        <f t="shared" si="2"/>
        <v>0.010608999997202773</v>
      </c>
      <c r="I22">
        <f aca="true" t="shared" si="5" ref="I22:I46">+G22</f>
        <v>0.010608999997202773</v>
      </c>
      <c r="O22">
        <f t="shared" si="3"/>
        <v>0.01289780947521868</v>
      </c>
      <c r="Q22" s="2">
        <f t="shared" si="4"/>
        <v>35927.8488</v>
      </c>
    </row>
    <row r="23" spans="1:17" ht="12.75">
      <c r="A23" s="13" t="s">
        <v>32</v>
      </c>
      <c r="B23" s="14"/>
      <c r="C23" s="15">
        <v>51045.3824</v>
      </c>
      <c r="D23" s="14">
        <v>0.0024</v>
      </c>
      <c r="E23">
        <f t="shared" si="0"/>
        <v>23565.563277340698</v>
      </c>
      <c r="F23" s="8">
        <f t="shared" si="1"/>
        <v>23565.5</v>
      </c>
      <c r="G23">
        <f t="shared" si="2"/>
        <v>0.025367000002006534</v>
      </c>
      <c r="I23">
        <f t="shared" si="5"/>
        <v>0.025367000002006534</v>
      </c>
      <c r="O23">
        <f t="shared" si="3"/>
        <v>0.02342341625011457</v>
      </c>
      <c r="Q23" s="2">
        <f t="shared" si="4"/>
        <v>36026.8824</v>
      </c>
    </row>
    <row r="24" spans="1:17" ht="12.75">
      <c r="A24" s="16" t="s">
        <v>33</v>
      </c>
      <c r="B24" s="17" t="s">
        <v>34</v>
      </c>
      <c r="C24" s="18">
        <v>51270.5027</v>
      </c>
      <c r="D24" s="17">
        <v>0.0028</v>
      </c>
      <c r="E24">
        <f t="shared" si="0"/>
        <v>24127.120178803943</v>
      </c>
      <c r="F24" s="8">
        <f t="shared" si="1"/>
        <v>24127</v>
      </c>
      <c r="G24">
        <f t="shared" si="2"/>
        <v>0.048177999997278675</v>
      </c>
      <c r="I24">
        <f t="shared" si="5"/>
        <v>0.048177999997278675</v>
      </c>
      <c r="O24">
        <f t="shared" si="3"/>
        <v>0.04735106080114315</v>
      </c>
      <c r="Q24" s="2">
        <f t="shared" si="4"/>
        <v>36252.0027</v>
      </c>
    </row>
    <row r="25" spans="1:17" ht="12.75">
      <c r="A25" s="16" t="s">
        <v>33</v>
      </c>
      <c r="B25" s="17" t="s">
        <v>34</v>
      </c>
      <c r="C25" s="18">
        <v>51274.512</v>
      </c>
      <c r="D25" s="17">
        <v>0.0042</v>
      </c>
      <c r="E25">
        <f t="shared" si="0"/>
        <v>24137.121276372844</v>
      </c>
      <c r="F25" s="8">
        <f t="shared" si="1"/>
        <v>24137</v>
      </c>
      <c r="G25">
        <f t="shared" si="2"/>
        <v>0.048618000000715256</v>
      </c>
      <c r="I25">
        <f t="shared" si="5"/>
        <v>0.048618000000715256</v>
      </c>
      <c r="O25">
        <f t="shared" si="3"/>
        <v>0.04777719872725217</v>
      </c>
      <c r="Q25" s="2">
        <f t="shared" si="4"/>
        <v>36256.012</v>
      </c>
    </row>
    <row r="26" spans="1:17" ht="12.75">
      <c r="A26" s="19" t="s">
        <v>35</v>
      </c>
      <c r="B26" s="17" t="s">
        <v>34</v>
      </c>
      <c r="C26" s="18">
        <v>51657.3973</v>
      </c>
      <c r="D26" s="20">
        <v>0.0056</v>
      </c>
      <c r="E26">
        <f t="shared" si="0"/>
        <v>25092.218984948333</v>
      </c>
      <c r="F26" s="8">
        <f t="shared" si="1"/>
        <v>25092</v>
      </c>
      <c r="G26">
        <f t="shared" si="2"/>
        <v>0.08778799999709008</v>
      </c>
      <c r="I26">
        <f t="shared" si="5"/>
        <v>0.08778799999709008</v>
      </c>
      <c r="O26">
        <f t="shared" si="3"/>
        <v>0.08847337067067551</v>
      </c>
      <c r="Q26" s="2">
        <f t="shared" si="4"/>
        <v>36638.8973</v>
      </c>
    </row>
    <row r="27" spans="1:17" ht="12.75">
      <c r="A27" s="19" t="s">
        <v>35</v>
      </c>
      <c r="B27" s="17" t="s">
        <v>34</v>
      </c>
      <c r="C27" s="18">
        <v>51657.3973</v>
      </c>
      <c r="D27" s="17">
        <v>0.0056</v>
      </c>
      <c r="E27">
        <f t="shared" si="0"/>
        <v>25092.218984948333</v>
      </c>
      <c r="F27" s="8">
        <f t="shared" si="1"/>
        <v>25092</v>
      </c>
      <c r="G27">
        <f t="shared" si="2"/>
        <v>0.08778799999709008</v>
      </c>
      <c r="I27">
        <f t="shared" si="5"/>
        <v>0.08778799999709008</v>
      </c>
      <c r="O27">
        <f t="shared" si="3"/>
        <v>0.08847337067067551</v>
      </c>
      <c r="Q27" s="2">
        <f t="shared" si="4"/>
        <v>36638.8973</v>
      </c>
    </row>
    <row r="28" spans="1:17" ht="12.75">
      <c r="A28" s="16" t="s">
        <v>36</v>
      </c>
      <c r="B28" s="17" t="s">
        <v>37</v>
      </c>
      <c r="C28" s="18">
        <v>51672.4321</v>
      </c>
      <c r="D28" s="17">
        <v>0.0029</v>
      </c>
      <c r="E28">
        <f t="shared" si="0"/>
        <v>25129.72291374605</v>
      </c>
      <c r="F28" s="8">
        <f t="shared" si="1"/>
        <v>25129.5</v>
      </c>
      <c r="G28">
        <f t="shared" si="2"/>
        <v>0.08936299999913899</v>
      </c>
      <c r="I28">
        <f t="shared" si="5"/>
        <v>0.08936299999913899</v>
      </c>
      <c r="O28">
        <f t="shared" si="3"/>
        <v>0.09007138789358482</v>
      </c>
      <c r="Q28" s="2">
        <f t="shared" si="4"/>
        <v>36653.9321</v>
      </c>
    </row>
    <row r="29" spans="1:17" ht="12.75">
      <c r="A29" s="16" t="s">
        <v>36</v>
      </c>
      <c r="B29" s="17" t="s">
        <v>37</v>
      </c>
      <c r="C29" s="18">
        <v>51675.4359</v>
      </c>
      <c r="D29" s="17">
        <v>0.0031</v>
      </c>
      <c r="E29">
        <f t="shared" si="0"/>
        <v>25137.215816965418</v>
      </c>
      <c r="F29" s="8">
        <f t="shared" si="1"/>
        <v>25137</v>
      </c>
      <c r="G29">
        <f t="shared" si="2"/>
        <v>0.08651799999643117</v>
      </c>
      <c r="I29">
        <f t="shared" si="5"/>
        <v>0.08651799999643117</v>
      </c>
      <c r="O29">
        <f t="shared" si="3"/>
        <v>0.09039099133816664</v>
      </c>
      <c r="Q29" s="2">
        <f t="shared" si="4"/>
        <v>36656.9359</v>
      </c>
    </row>
    <row r="30" spans="1:17" ht="12.75">
      <c r="A30" s="19" t="s">
        <v>35</v>
      </c>
      <c r="B30" s="17" t="s">
        <v>37</v>
      </c>
      <c r="C30" s="18">
        <v>51694.4829</v>
      </c>
      <c r="D30" s="20">
        <v>0.0055</v>
      </c>
      <c r="E30">
        <f t="shared" si="0"/>
        <v>25184.72807730877</v>
      </c>
      <c r="F30" s="8">
        <f t="shared" si="1"/>
        <v>25184.5</v>
      </c>
      <c r="G30">
        <f t="shared" si="2"/>
        <v>0.09143300000141608</v>
      </c>
      <c r="I30">
        <f t="shared" si="5"/>
        <v>0.09143300000141608</v>
      </c>
      <c r="O30">
        <f t="shared" si="3"/>
        <v>0.09241514648718518</v>
      </c>
      <c r="Q30" s="2">
        <f t="shared" si="4"/>
        <v>36675.9829</v>
      </c>
    </row>
    <row r="31" spans="1:17" ht="12.75">
      <c r="A31" s="19" t="s">
        <v>35</v>
      </c>
      <c r="B31" s="17" t="s">
        <v>37</v>
      </c>
      <c r="C31" s="18">
        <v>51694.4829</v>
      </c>
      <c r="D31" s="17">
        <v>0.0055</v>
      </c>
      <c r="E31">
        <f t="shared" si="0"/>
        <v>25184.72807730877</v>
      </c>
      <c r="F31" s="8">
        <f t="shared" si="1"/>
        <v>25184.5</v>
      </c>
      <c r="G31">
        <f t="shared" si="2"/>
        <v>0.09143300000141608</v>
      </c>
      <c r="I31">
        <f t="shared" si="5"/>
        <v>0.09143300000141608</v>
      </c>
      <c r="O31">
        <f t="shared" si="3"/>
        <v>0.09241514648718518</v>
      </c>
      <c r="Q31" s="2">
        <f t="shared" si="4"/>
        <v>36675.9829</v>
      </c>
    </row>
    <row r="32" spans="1:17" ht="12.75">
      <c r="A32" s="16" t="s">
        <v>36</v>
      </c>
      <c r="B32" s="17" t="s">
        <v>37</v>
      </c>
      <c r="C32" s="18">
        <v>51697.4908</v>
      </c>
      <c r="D32" s="17">
        <v>0.0027</v>
      </c>
      <c r="E32">
        <f t="shared" si="0"/>
        <v>25192.23120787456</v>
      </c>
      <c r="F32" s="8">
        <f t="shared" si="1"/>
        <v>25192</v>
      </c>
      <c r="G32">
        <f t="shared" si="2"/>
        <v>0.09268800000427291</v>
      </c>
      <c r="I32">
        <f t="shared" si="5"/>
        <v>0.09268800000427291</v>
      </c>
      <c r="O32">
        <f t="shared" si="3"/>
        <v>0.092734749931767</v>
      </c>
      <c r="Q32" s="2">
        <f t="shared" si="4"/>
        <v>36678.9908</v>
      </c>
    </row>
    <row r="33" spans="1:17" ht="12.75">
      <c r="A33" s="19" t="s">
        <v>35</v>
      </c>
      <c r="B33" s="17" t="s">
        <v>37</v>
      </c>
      <c r="C33" s="18">
        <v>51714.5339</v>
      </c>
      <c r="D33" s="20">
        <v>0.0067</v>
      </c>
      <c r="E33">
        <f t="shared" si="0"/>
        <v>25234.74479028952</v>
      </c>
      <c r="F33" s="8">
        <f t="shared" si="1"/>
        <v>25234.5</v>
      </c>
      <c r="G33">
        <f t="shared" si="2"/>
        <v>0.09813299999950686</v>
      </c>
      <c r="I33">
        <f t="shared" si="5"/>
        <v>0.09813299999950686</v>
      </c>
      <c r="O33">
        <f t="shared" si="3"/>
        <v>0.09454583611773093</v>
      </c>
      <c r="Q33" s="2">
        <f t="shared" si="4"/>
        <v>36696.0339</v>
      </c>
    </row>
    <row r="34" spans="1:17" ht="12.75">
      <c r="A34" s="19" t="s">
        <v>35</v>
      </c>
      <c r="B34" s="17" t="s">
        <v>37</v>
      </c>
      <c r="C34" s="18">
        <v>51714.5339</v>
      </c>
      <c r="D34" s="17">
        <v>0.0067</v>
      </c>
      <c r="E34">
        <f t="shared" si="0"/>
        <v>25234.74479028952</v>
      </c>
      <c r="F34" s="8">
        <f t="shared" si="1"/>
        <v>25234.5</v>
      </c>
      <c r="G34">
        <f t="shared" si="2"/>
        <v>0.09813299999950686</v>
      </c>
      <c r="I34">
        <f t="shared" si="5"/>
        <v>0.09813299999950686</v>
      </c>
      <c r="O34">
        <f t="shared" si="3"/>
        <v>0.09454583611773093</v>
      </c>
      <c r="Q34" s="2">
        <f t="shared" si="4"/>
        <v>36696.0339</v>
      </c>
    </row>
    <row r="35" spans="1:17" ht="12.75">
      <c r="A35" s="19" t="s">
        <v>35</v>
      </c>
      <c r="B35" s="17" t="s">
        <v>34</v>
      </c>
      <c r="C35" s="18">
        <v>51752.4178</v>
      </c>
      <c r="D35" s="20">
        <v>0.0049</v>
      </c>
      <c r="E35">
        <f t="shared" si="0"/>
        <v>25329.245221833648</v>
      </c>
      <c r="F35" s="8">
        <f t="shared" si="1"/>
        <v>25329</v>
      </c>
      <c r="G35">
        <f t="shared" si="2"/>
        <v>0.09830600000714185</v>
      </c>
      <c r="I35">
        <f t="shared" si="5"/>
        <v>0.09830600000714185</v>
      </c>
      <c r="O35">
        <f t="shared" si="3"/>
        <v>0.09857283951946227</v>
      </c>
      <c r="Q35" s="2">
        <f t="shared" si="4"/>
        <v>36733.9178</v>
      </c>
    </row>
    <row r="36" spans="1:17" ht="12.75">
      <c r="A36" s="19" t="s">
        <v>35</v>
      </c>
      <c r="B36" s="17" t="s">
        <v>34</v>
      </c>
      <c r="C36" s="18">
        <v>51752.4178</v>
      </c>
      <c r="D36" s="17">
        <v>0.0049</v>
      </c>
      <c r="E36">
        <f t="shared" si="0"/>
        <v>25329.245221833648</v>
      </c>
      <c r="F36" s="8">
        <f t="shared" si="1"/>
        <v>25329</v>
      </c>
      <c r="G36">
        <f t="shared" si="2"/>
        <v>0.09830600000714185</v>
      </c>
      <c r="I36">
        <f t="shared" si="5"/>
        <v>0.09830600000714185</v>
      </c>
      <c r="O36">
        <f t="shared" si="3"/>
        <v>0.09857283951946227</v>
      </c>
      <c r="Q36" s="2">
        <f t="shared" si="4"/>
        <v>36733.9178</v>
      </c>
    </row>
    <row r="37" spans="1:17" ht="12.75">
      <c r="A37" s="19" t="s">
        <v>35</v>
      </c>
      <c r="B37" s="17" t="s">
        <v>34</v>
      </c>
      <c r="C37" s="18">
        <v>51965.7119</v>
      </c>
      <c r="D37" s="20">
        <v>0.0042</v>
      </c>
      <c r="E37">
        <f t="shared" si="0"/>
        <v>25861.301966144998</v>
      </c>
      <c r="F37">
        <f t="shared" si="1"/>
        <v>25861.5</v>
      </c>
      <c r="G37">
        <f t="shared" si="2"/>
        <v>-0.0793889999986277</v>
      </c>
      <c r="I37">
        <f t="shared" si="5"/>
        <v>-0.0793889999986277</v>
      </c>
      <c r="O37">
        <f t="shared" si="3"/>
        <v>0.1212646840847742</v>
      </c>
      <c r="Q37" s="2">
        <f t="shared" si="4"/>
        <v>36947.2119</v>
      </c>
    </row>
    <row r="38" spans="1:17" ht="12.75">
      <c r="A38" s="19" t="s">
        <v>35</v>
      </c>
      <c r="B38" s="17" t="s">
        <v>34</v>
      </c>
      <c r="C38" s="18">
        <v>51965.7119</v>
      </c>
      <c r="D38" s="17">
        <v>0.0042</v>
      </c>
      <c r="E38">
        <f t="shared" si="0"/>
        <v>25861.301966144998</v>
      </c>
      <c r="F38">
        <f t="shared" si="1"/>
        <v>25861.5</v>
      </c>
      <c r="G38">
        <f t="shared" si="2"/>
        <v>-0.0793889999986277</v>
      </c>
      <c r="I38">
        <f t="shared" si="5"/>
        <v>-0.0793889999986277</v>
      </c>
      <c r="O38">
        <f t="shared" si="3"/>
        <v>0.1212646840847742</v>
      </c>
      <c r="Q38" s="2">
        <f t="shared" si="4"/>
        <v>36947.2119</v>
      </c>
    </row>
    <row r="39" spans="1:17" ht="12.75">
      <c r="A39" s="19" t="s">
        <v>35</v>
      </c>
      <c r="B39" s="17" t="s">
        <v>34</v>
      </c>
      <c r="C39" s="18">
        <v>51982.5513</v>
      </c>
      <c r="D39" s="20">
        <v>0.0034</v>
      </c>
      <c r="E39">
        <f t="shared" si="0"/>
        <v>25903.307424055718</v>
      </c>
      <c r="F39">
        <f t="shared" si="1"/>
        <v>25903.5</v>
      </c>
      <c r="G39">
        <f t="shared" si="2"/>
        <v>-0.07720100000005914</v>
      </c>
      <c r="I39">
        <f t="shared" si="5"/>
        <v>-0.07720100000005914</v>
      </c>
      <c r="O39">
        <f t="shared" si="3"/>
        <v>0.12305446337443282</v>
      </c>
      <c r="Q39" s="2">
        <f t="shared" si="4"/>
        <v>36964.0513</v>
      </c>
    </row>
    <row r="40" spans="1:17" ht="12.75">
      <c r="A40" s="19" t="s">
        <v>35</v>
      </c>
      <c r="B40" s="17" t="s">
        <v>34</v>
      </c>
      <c r="C40" s="18">
        <v>51982.5513</v>
      </c>
      <c r="D40" s="17">
        <v>0.0034</v>
      </c>
      <c r="E40">
        <f t="shared" si="0"/>
        <v>25903.307424055718</v>
      </c>
      <c r="F40">
        <f t="shared" si="1"/>
        <v>25903.5</v>
      </c>
      <c r="G40">
        <f t="shared" si="2"/>
        <v>-0.07720100000005914</v>
      </c>
      <c r="I40">
        <f t="shared" si="5"/>
        <v>-0.07720100000005914</v>
      </c>
      <c r="O40">
        <f t="shared" si="3"/>
        <v>0.12305446337443282</v>
      </c>
      <c r="Q40" s="2">
        <f t="shared" si="4"/>
        <v>36964.0513</v>
      </c>
    </row>
    <row r="41" spans="1:17" ht="12.75">
      <c r="A41" s="19" t="s">
        <v>35</v>
      </c>
      <c r="B41" s="17" t="s">
        <v>34</v>
      </c>
      <c r="C41" s="18">
        <v>52002.5959</v>
      </c>
      <c r="D41" s="20">
        <v>0.0016</v>
      </c>
      <c r="E41">
        <f t="shared" si="0"/>
        <v>25953.30817239814</v>
      </c>
      <c r="F41">
        <f t="shared" si="1"/>
        <v>25953.5</v>
      </c>
      <c r="G41">
        <f t="shared" si="2"/>
        <v>-0.07690100000036182</v>
      </c>
      <c r="I41">
        <f t="shared" si="5"/>
        <v>-0.07690100000036182</v>
      </c>
      <c r="O41">
        <f t="shared" si="3"/>
        <v>0.12518515300497834</v>
      </c>
      <c r="Q41" s="2">
        <f t="shared" si="4"/>
        <v>36984.0959</v>
      </c>
    </row>
    <row r="42" spans="1:17" ht="12.75">
      <c r="A42" s="19" t="s">
        <v>35</v>
      </c>
      <c r="B42" s="17" t="s">
        <v>34</v>
      </c>
      <c r="C42" s="18">
        <v>52002.5959</v>
      </c>
      <c r="D42" s="17">
        <v>0.0016</v>
      </c>
      <c r="E42">
        <f t="shared" si="0"/>
        <v>25953.30817239814</v>
      </c>
      <c r="F42">
        <f t="shared" si="1"/>
        <v>25953.5</v>
      </c>
      <c r="G42">
        <f t="shared" si="2"/>
        <v>-0.07690100000036182</v>
      </c>
      <c r="I42">
        <f t="shared" si="5"/>
        <v>-0.07690100000036182</v>
      </c>
      <c r="O42">
        <f t="shared" si="3"/>
        <v>0.12518515300497834</v>
      </c>
      <c r="Q42" s="2">
        <f t="shared" si="4"/>
        <v>36984.0959</v>
      </c>
    </row>
    <row r="43" spans="1:17" ht="12.75">
      <c r="A43" s="19" t="s">
        <v>35</v>
      </c>
      <c r="B43" s="17" t="s">
        <v>34</v>
      </c>
      <c r="C43" s="18">
        <v>52031.4728</v>
      </c>
      <c r="D43" s="20">
        <v>0.0028</v>
      </c>
      <c r="E43">
        <f t="shared" si="0"/>
        <v>26025.34086997302</v>
      </c>
      <c r="F43">
        <f t="shared" si="1"/>
        <v>26025.5</v>
      </c>
      <c r="G43">
        <f t="shared" si="2"/>
        <v>-0.06379299999389332</v>
      </c>
      <c r="I43">
        <f t="shared" si="5"/>
        <v>-0.06379299999389332</v>
      </c>
      <c r="O43">
        <f t="shared" si="3"/>
        <v>0.12825334607296424</v>
      </c>
      <c r="Q43" s="2">
        <f t="shared" si="4"/>
        <v>37012.9728</v>
      </c>
    </row>
    <row r="44" spans="1:17" ht="12.75">
      <c r="A44" s="19" t="s">
        <v>35</v>
      </c>
      <c r="B44" s="17" t="s">
        <v>34</v>
      </c>
      <c r="C44" s="18">
        <v>52031.4728</v>
      </c>
      <c r="D44" s="17">
        <v>0.0028</v>
      </c>
      <c r="E44">
        <f t="shared" si="0"/>
        <v>26025.34086997302</v>
      </c>
      <c r="F44">
        <f t="shared" si="1"/>
        <v>26025.5</v>
      </c>
      <c r="G44">
        <f t="shared" si="2"/>
        <v>-0.06379299999389332</v>
      </c>
      <c r="I44">
        <f t="shared" si="5"/>
        <v>-0.06379299999389332</v>
      </c>
      <c r="O44">
        <f t="shared" si="3"/>
        <v>0.12825334607296424</v>
      </c>
      <c r="Q44" s="2">
        <f t="shared" si="4"/>
        <v>37012.9728</v>
      </c>
    </row>
    <row r="45" spans="1:17" ht="12.75">
      <c r="A45" s="19" t="s">
        <v>35</v>
      </c>
      <c r="B45" s="17" t="s">
        <v>34</v>
      </c>
      <c r="C45" s="18">
        <v>52828.5028</v>
      </c>
      <c r="D45" s="20">
        <v>0.0043</v>
      </c>
      <c r="E45">
        <f t="shared" si="0"/>
        <v>28013.512070763267</v>
      </c>
      <c r="F45">
        <f t="shared" si="1"/>
        <v>28013.5</v>
      </c>
      <c r="G45">
        <f t="shared" si="2"/>
        <v>0.0048390000010840595</v>
      </c>
      <c r="I45">
        <f t="shared" si="5"/>
        <v>0.0048390000010840595</v>
      </c>
      <c r="O45">
        <f t="shared" si="3"/>
        <v>0.21296956578346227</v>
      </c>
      <c r="Q45" s="2">
        <f t="shared" si="4"/>
        <v>37810.0028</v>
      </c>
    </row>
    <row r="46" spans="1:17" ht="12.75">
      <c r="A46" s="19" t="s">
        <v>35</v>
      </c>
      <c r="B46" s="17" t="s">
        <v>34</v>
      </c>
      <c r="C46" s="18">
        <v>52828.5028</v>
      </c>
      <c r="D46" s="17">
        <v>0.0043</v>
      </c>
      <c r="E46">
        <f t="shared" si="0"/>
        <v>28013.512070763267</v>
      </c>
      <c r="F46">
        <f t="shared" si="1"/>
        <v>28013.5</v>
      </c>
      <c r="G46">
        <f t="shared" si="2"/>
        <v>0.0048390000010840595</v>
      </c>
      <c r="I46">
        <f t="shared" si="5"/>
        <v>0.0048390000010840595</v>
      </c>
      <c r="O46">
        <f t="shared" si="3"/>
        <v>0.21296956578346227</v>
      </c>
      <c r="Q46" s="2">
        <f t="shared" si="4"/>
        <v>37810.0028</v>
      </c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08"/>
  <sheetViews>
    <sheetView zoomScalePageLayoutView="0" workbookViewId="0" topLeftCell="A19">
      <selection activeCell="A56" sqref="A56:D63"/>
    </sheetView>
  </sheetViews>
  <sheetFormatPr defaultColWidth="9.140625" defaultRowHeight="12.75"/>
  <cols>
    <col min="1" max="1" width="19.7109375" style="36" customWidth="1"/>
    <col min="2" max="2" width="4.421875" style="63" customWidth="1"/>
    <col min="3" max="3" width="12.7109375" style="36" customWidth="1"/>
    <col min="4" max="4" width="5.421875" style="63" customWidth="1"/>
    <col min="5" max="5" width="14.8515625" style="63" customWidth="1"/>
    <col min="6" max="6" width="9.140625" style="63" customWidth="1"/>
    <col min="7" max="7" width="12.00390625" style="63" customWidth="1"/>
    <col min="8" max="8" width="14.140625" style="36" customWidth="1"/>
    <col min="9" max="9" width="22.57421875" style="63" customWidth="1"/>
    <col min="10" max="10" width="25.140625" style="63" customWidth="1"/>
    <col min="11" max="11" width="15.7109375" style="63" customWidth="1"/>
    <col min="12" max="12" width="14.140625" style="63" customWidth="1"/>
    <col min="13" max="13" width="9.57421875" style="63" customWidth="1"/>
    <col min="14" max="14" width="14.140625" style="63" customWidth="1"/>
    <col min="15" max="15" width="23.421875" style="63" customWidth="1"/>
    <col min="16" max="16" width="16.57421875" style="63" customWidth="1"/>
    <col min="17" max="17" width="41.00390625" style="63" customWidth="1"/>
    <col min="18" max="16384" width="9.140625" style="63" customWidth="1"/>
  </cols>
  <sheetData>
    <row r="1" spans="1:10" ht="15.75">
      <c r="A1" s="62" t="s">
        <v>72</v>
      </c>
      <c r="I1" s="64" t="s">
        <v>73</v>
      </c>
      <c r="J1" s="65" t="s">
        <v>60</v>
      </c>
    </row>
    <row r="2" spans="9:10" ht="12.75">
      <c r="I2" s="66" t="s">
        <v>74</v>
      </c>
      <c r="J2" s="67" t="s">
        <v>75</v>
      </c>
    </row>
    <row r="3" spans="1:10" ht="12.75">
      <c r="A3" s="68" t="s">
        <v>76</v>
      </c>
      <c r="I3" s="66" t="s">
        <v>77</v>
      </c>
      <c r="J3" s="67" t="s">
        <v>78</v>
      </c>
    </row>
    <row r="4" spans="9:10" ht="12.75">
      <c r="I4" s="66" t="s">
        <v>79</v>
      </c>
      <c r="J4" s="67" t="s">
        <v>78</v>
      </c>
    </row>
    <row r="5" spans="9:10" ht="13.5" thickBot="1">
      <c r="I5" s="69" t="s">
        <v>80</v>
      </c>
      <c r="J5" s="70" t="s">
        <v>61</v>
      </c>
    </row>
    <row r="10" ht="13.5" thickBot="1"/>
    <row r="11" spans="1:16" ht="12.75" customHeight="1" thickBot="1">
      <c r="A11" s="36" t="str">
        <f aca="true" t="shared" si="0" ref="A11:A42">P11</f>
        <v>IBVS 4887 </v>
      </c>
      <c r="B11" s="6" t="str">
        <f aca="true" t="shared" si="1" ref="B11:B42">IF(H11=INT(H11),"I","II")</f>
        <v>II</v>
      </c>
      <c r="C11" s="36">
        <f aca="true" t="shared" si="2" ref="C11:C42">1*G11</f>
        <v>50284.4245</v>
      </c>
      <c r="D11" s="63" t="str">
        <f aca="true" t="shared" si="3" ref="D11:D42">VLOOKUP(F11,I$1:J$5,2,FALSE)</f>
        <v>vis</v>
      </c>
      <c r="E11" s="71">
        <f>VLOOKUP(C11,Active!C$21:E$970,3,FALSE)</f>
        <v>21665.070042850824</v>
      </c>
      <c r="F11" s="6" t="s">
        <v>80</v>
      </c>
      <c r="G11" s="63" t="str">
        <f aca="true" t="shared" si="4" ref="G11:G42">MID(I11,3,LEN(I11)-3)</f>
        <v>50284.4245</v>
      </c>
      <c r="H11" s="36">
        <f aca="true" t="shared" si="5" ref="H11:H42">1*K11</f>
        <v>25861.5</v>
      </c>
      <c r="I11" s="72" t="s">
        <v>99</v>
      </c>
      <c r="J11" s="73" t="s">
        <v>100</v>
      </c>
      <c r="K11" s="72">
        <v>25861.5</v>
      </c>
      <c r="L11" s="72" t="s">
        <v>101</v>
      </c>
      <c r="M11" s="73" t="s">
        <v>102</v>
      </c>
      <c r="N11" s="73" t="s">
        <v>103</v>
      </c>
      <c r="O11" s="74" t="s">
        <v>104</v>
      </c>
      <c r="P11" s="75" t="s">
        <v>105</v>
      </c>
    </row>
    <row r="12" spans="1:16" ht="12.75" customHeight="1" thickBot="1">
      <c r="A12" s="36" t="str">
        <f t="shared" si="0"/>
        <v>IBVS 4888 </v>
      </c>
      <c r="B12" s="6" t="str">
        <f t="shared" si="1"/>
        <v>I</v>
      </c>
      <c r="C12" s="36">
        <f t="shared" si="2"/>
        <v>50946.3488</v>
      </c>
      <c r="D12" s="63" t="str">
        <f t="shared" si="3"/>
        <v>vis</v>
      </c>
      <c r="E12" s="71">
        <f>VLOOKUP(C12,Active!C$21:E$970,3,FALSE)</f>
        <v>23316.04799061684</v>
      </c>
      <c r="F12" s="6" t="s">
        <v>80</v>
      </c>
      <c r="G12" s="63" t="str">
        <f t="shared" si="4"/>
        <v>50946.3488</v>
      </c>
      <c r="H12" s="36">
        <f t="shared" si="5"/>
        <v>27832</v>
      </c>
      <c r="I12" s="72" t="s">
        <v>106</v>
      </c>
      <c r="J12" s="73" t="s">
        <v>107</v>
      </c>
      <c r="K12" s="72">
        <v>27832</v>
      </c>
      <c r="L12" s="72" t="s">
        <v>108</v>
      </c>
      <c r="M12" s="73" t="s">
        <v>102</v>
      </c>
      <c r="N12" s="73" t="s">
        <v>103</v>
      </c>
      <c r="O12" s="74" t="s">
        <v>104</v>
      </c>
      <c r="P12" s="75" t="s">
        <v>109</v>
      </c>
    </row>
    <row r="13" spans="1:16" ht="12.75" customHeight="1" thickBot="1">
      <c r="A13" s="36" t="str">
        <f t="shared" si="0"/>
        <v>IBVS 4888 </v>
      </c>
      <c r="B13" s="6" t="str">
        <f t="shared" si="1"/>
        <v>I</v>
      </c>
      <c r="C13" s="36">
        <f t="shared" si="2"/>
        <v>51045.3824</v>
      </c>
      <c r="D13" s="63" t="str">
        <f t="shared" si="3"/>
        <v>vis</v>
      </c>
      <c r="E13" s="71">
        <f>VLOOKUP(C13,Active!C$21:E$970,3,FALSE)</f>
        <v>23563.05854709269</v>
      </c>
      <c r="F13" s="6" t="s">
        <v>80</v>
      </c>
      <c r="G13" s="63" t="str">
        <f t="shared" si="4"/>
        <v>51045.3824</v>
      </c>
      <c r="H13" s="36">
        <f t="shared" si="5"/>
        <v>28127</v>
      </c>
      <c r="I13" s="72" t="s">
        <v>110</v>
      </c>
      <c r="J13" s="73" t="s">
        <v>111</v>
      </c>
      <c r="K13" s="72">
        <v>28127</v>
      </c>
      <c r="L13" s="72" t="s">
        <v>112</v>
      </c>
      <c r="M13" s="73" t="s">
        <v>102</v>
      </c>
      <c r="N13" s="73" t="s">
        <v>103</v>
      </c>
      <c r="O13" s="74" t="s">
        <v>113</v>
      </c>
      <c r="P13" s="75" t="s">
        <v>109</v>
      </c>
    </row>
    <row r="14" spans="1:16" ht="12.75" customHeight="1" thickBot="1">
      <c r="A14" s="36" t="str">
        <f t="shared" si="0"/>
        <v>IBVS 5263 </v>
      </c>
      <c r="B14" s="6" t="str">
        <f t="shared" si="1"/>
        <v>I</v>
      </c>
      <c r="C14" s="36">
        <f t="shared" si="2"/>
        <v>51270.5027</v>
      </c>
      <c r="D14" s="63" t="str">
        <f t="shared" si="3"/>
        <v>vis</v>
      </c>
      <c r="E14" s="71">
        <f>VLOOKUP(C14,Active!C$21:E$970,3,FALSE)</f>
        <v>24124.55576194711</v>
      </c>
      <c r="F14" s="6" t="s">
        <v>80</v>
      </c>
      <c r="G14" s="63" t="str">
        <f t="shared" si="4"/>
        <v>51270.5027</v>
      </c>
      <c r="H14" s="36">
        <f t="shared" si="5"/>
        <v>28797</v>
      </c>
      <c r="I14" s="72" t="s">
        <v>114</v>
      </c>
      <c r="J14" s="73" t="s">
        <v>115</v>
      </c>
      <c r="K14" s="72">
        <v>28797</v>
      </c>
      <c r="L14" s="72" t="s">
        <v>116</v>
      </c>
      <c r="M14" s="73" t="s">
        <v>102</v>
      </c>
      <c r="N14" s="73" t="s">
        <v>103</v>
      </c>
      <c r="O14" s="74" t="s">
        <v>104</v>
      </c>
      <c r="P14" s="75" t="s">
        <v>117</v>
      </c>
    </row>
    <row r="15" spans="1:16" ht="12.75" customHeight="1" thickBot="1">
      <c r="A15" s="36" t="str">
        <f t="shared" si="0"/>
        <v>IBVS 5263 </v>
      </c>
      <c r="B15" s="6" t="str">
        <f t="shared" si="1"/>
        <v>I</v>
      </c>
      <c r="C15" s="36">
        <f t="shared" si="2"/>
        <v>51274.512</v>
      </c>
      <c r="D15" s="63" t="str">
        <f t="shared" si="3"/>
        <v>vis</v>
      </c>
      <c r="E15" s="71">
        <f>VLOOKUP(C15,Active!C$21:E$970,3,FALSE)</f>
        <v>24134.55579652204</v>
      </c>
      <c r="F15" s="6" t="s">
        <v>80</v>
      </c>
      <c r="G15" s="63" t="str">
        <f t="shared" si="4"/>
        <v>51274.5120</v>
      </c>
      <c r="H15" s="36">
        <f t="shared" si="5"/>
        <v>28809</v>
      </c>
      <c r="I15" s="72" t="s">
        <v>118</v>
      </c>
      <c r="J15" s="73" t="s">
        <v>119</v>
      </c>
      <c r="K15" s="72">
        <v>28809</v>
      </c>
      <c r="L15" s="72" t="s">
        <v>120</v>
      </c>
      <c r="M15" s="73" t="s">
        <v>102</v>
      </c>
      <c r="N15" s="73" t="s">
        <v>103</v>
      </c>
      <c r="O15" s="74" t="s">
        <v>104</v>
      </c>
      <c r="P15" s="75" t="s">
        <v>117</v>
      </c>
    </row>
    <row r="16" spans="1:16" ht="12.75" customHeight="1" thickBot="1">
      <c r="A16" s="36" t="str">
        <f t="shared" si="0"/>
        <v>IBVS 5027 </v>
      </c>
      <c r="B16" s="6" t="str">
        <f t="shared" si="1"/>
        <v>II</v>
      </c>
      <c r="C16" s="36">
        <f t="shared" si="2"/>
        <v>51283.7341</v>
      </c>
      <c r="D16" s="63" t="str">
        <f t="shared" si="3"/>
        <v>vis</v>
      </c>
      <c r="E16" s="71">
        <f>VLOOKUP(C16,Active!C$21:E$970,3,FALSE)</f>
        <v>24157.557646933168</v>
      </c>
      <c r="F16" s="6" t="s">
        <v>80</v>
      </c>
      <c r="G16" s="63" t="str">
        <f t="shared" si="4"/>
        <v>51283.7341</v>
      </c>
      <c r="H16" s="36">
        <f t="shared" si="5"/>
        <v>28836.5</v>
      </c>
      <c r="I16" s="72" t="s">
        <v>121</v>
      </c>
      <c r="J16" s="73" t="s">
        <v>122</v>
      </c>
      <c r="K16" s="72">
        <v>28836.5</v>
      </c>
      <c r="L16" s="72" t="s">
        <v>123</v>
      </c>
      <c r="M16" s="73" t="s">
        <v>102</v>
      </c>
      <c r="N16" s="73" t="s">
        <v>103</v>
      </c>
      <c r="O16" s="74" t="s">
        <v>124</v>
      </c>
      <c r="P16" s="75" t="s">
        <v>125</v>
      </c>
    </row>
    <row r="17" spans="1:16" ht="12.75" customHeight="1" thickBot="1">
      <c r="A17" s="36" t="str">
        <f t="shared" si="0"/>
        <v>IBVS 5583 </v>
      </c>
      <c r="B17" s="6" t="str">
        <f t="shared" si="1"/>
        <v>I</v>
      </c>
      <c r="C17" s="36">
        <f t="shared" si="2"/>
        <v>51657.3973</v>
      </c>
      <c r="D17" s="63" t="str">
        <f t="shared" si="3"/>
        <v>vis</v>
      </c>
      <c r="E17" s="71">
        <f>VLOOKUP(C17,Active!C$21:E$970,3,FALSE)</f>
        <v>25089.551989929303</v>
      </c>
      <c r="F17" s="6" t="s">
        <v>80</v>
      </c>
      <c r="G17" s="63" t="str">
        <f t="shared" si="4"/>
        <v>51657.3973</v>
      </c>
      <c r="H17" s="36">
        <f t="shared" si="5"/>
        <v>29949</v>
      </c>
      <c r="I17" s="72" t="s">
        <v>126</v>
      </c>
      <c r="J17" s="73" t="s">
        <v>127</v>
      </c>
      <c r="K17" s="72">
        <v>29949</v>
      </c>
      <c r="L17" s="72" t="s">
        <v>128</v>
      </c>
      <c r="M17" s="73" t="s">
        <v>102</v>
      </c>
      <c r="N17" s="73" t="s">
        <v>103</v>
      </c>
      <c r="O17" s="74" t="s">
        <v>113</v>
      </c>
      <c r="P17" s="75" t="s">
        <v>129</v>
      </c>
    </row>
    <row r="18" spans="1:16" ht="12.75" customHeight="1" thickBot="1">
      <c r="A18" s="36" t="str">
        <f t="shared" si="0"/>
        <v>IBVS 5287 </v>
      </c>
      <c r="B18" s="6" t="str">
        <f t="shared" si="1"/>
        <v>I</v>
      </c>
      <c r="C18" s="36">
        <f t="shared" si="2"/>
        <v>51672.4321</v>
      </c>
      <c r="D18" s="63" t="str">
        <f t="shared" si="3"/>
        <v>vis</v>
      </c>
      <c r="E18" s="71">
        <f>VLOOKUP(C18,Active!C$21:E$970,3,FALSE)</f>
        <v>25127.051932519527</v>
      </c>
      <c r="F18" s="6" t="s">
        <v>80</v>
      </c>
      <c r="G18" s="63" t="str">
        <f t="shared" si="4"/>
        <v>51672.4321</v>
      </c>
      <c r="H18" s="36">
        <f t="shared" si="5"/>
        <v>29994</v>
      </c>
      <c r="I18" s="72" t="s">
        <v>130</v>
      </c>
      <c r="J18" s="73" t="s">
        <v>131</v>
      </c>
      <c r="K18" s="72">
        <v>29994</v>
      </c>
      <c r="L18" s="72" t="s">
        <v>132</v>
      </c>
      <c r="M18" s="73" t="s">
        <v>102</v>
      </c>
      <c r="N18" s="73" t="s">
        <v>103</v>
      </c>
      <c r="O18" s="74" t="s">
        <v>113</v>
      </c>
      <c r="P18" s="75" t="s">
        <v>133</v>
      </c>
    </row>
    <row r="19" spans="1:16" ht="12.75" customHeight="1" thickBot="1">
      <c r="A19" s="36" t="str">
        <f t="shared" si="0"/>
        <v>IBVS 5287 </v>
      </c>
      <c r="B19" s="6" t="str">
        <f t="shared" si="1"/>
        <v>I</v>
      </c>
      <c r="C19" s="36">
        <f t="shared" si="2"/>
        <v>51675.4359</v>
      </c>
      <c r="D19" s="63" t="str">
        <f t="shared" si="3"/>
        <v>vis</v>
      </c>
      <c r="E19" s="71">
        <f>VLOOKUP(C19,Active!C$21:E$970,3,FALSE)</f>
        <v>25134.544039335215</v>
      </c>
      <c r="F19" s="6" t="s">
        <v>80</v>
      </c>
      <c r="G19" s="63" t="str">
        <f t="shared" si="4"/>
        <v>51675.4359</v>
      </c>
      <c r="H19" s="36">
        <f t="shared" si="5"/>
        <v>30003</v>
      </c>
      <c r="I19" s="72" t="s">
        <v>134</v>
      </c>
      <c r="J19" s="73" t="s">
        <v>135</v>
      </c>
      <c r="K19" s="72">
        <v>30003</v>
      </c>
      <c r="L19" s="72" t="s">
        <v>136</v>
      </c>
      <c r="M19" s="73" t="s">
        <v>102</v>
      </c>
      <c r="N19" s="73" t="s">
        <v>103</v>
      </c>
      <c r="O19" s="74" t="s">
        <v>113</v>
      </c>
      <c r="P19" s="75" t="s">
        <v>133</v>
      </c>
    </row>
    <row r="20" spans="1:16" ht="12.75" customHeight="1" thickBot="1">
      <c r="A20" s="36" t="str">
        <f t="shared" si="0"/>
        <v>IBVS 5583 </v>
      </c>
      <c r="B20" s="6" t="str">
        <f t="shared" si="1"/>
        <v>II</v>
      </c>
      <c r="C20" s="36">
        <f t="shared" si="2"/>
        <v>51694.4829</v>
      </c>
      <c r="D20" s="63" t="str">
        <f t="shared" si="3"/>
        <v>vis</v>
      </c>
      <c r="E20" s="71">
        <f>VLOOKUP(C20,Active!C$21:E$970,3,FALSE)</f>
        <v>25182.051249708227</v>
      </c>
      <c r="F20" s="6" t="s">
        <v>80</v>
      </c>
      <c r="G20" s="63" t="str">
        <f t="shared" si="4"/>
        <v>51694.4829</v>
      </c>
      <c r="H20" s="36">
        <f t="shared" si="5"/>
        <v>30059.5</v>
      </c>
      <c r="I20" s="72" t="s">
        <v>137</v>
      </c>
      <c r="J20" s="73" t="s">
        <v>138</v>
      </c>
      <c r="K20" s="72">
        <v>30059.5</v>
      </c>
      <c r="L20" s="72" t="s">
        <v>139</v>
      </c>
      <c r="M20" s="73" t="s">
        <v>102</v>
      </c>
      <c r="N20" s="73" t="s">
        <v>103</v>
      </c>
      <c r="O20" s="74" t="s">
        <v>113</v>
      </c>
      <c r="P20" s="75" t="s">
        <v>129</v>
      </c>
    </row>
    <row r="21" spans="1:16" ht="12.75" customHeight="1" thickBot="1">
      <c r="A21" s="36" t="str">
        <f t="shared" si="0"/>
        <v>IBVS 5287 </v>
      </c>
      <c r="B21" s="6" t="str">
        <f t="shared" si="1"/>
        <v>II</v>
      </c>
      <c r="C21" s="36">
        <f t="shared" si="2"/>
        <v>51697.4908</v>
      </c>
      <c r="D21" s="63" t="str">
        <f t="shared" si="3"/>
        <v>vis</v>
      </c>
      <c r="E21" s="71">
        <f>VLOOKUP(C21,Active!C$21:E$970,3,FALSE)</f>
        <v>25189.553582783294</v>
      </c>
      <c r="F21" s="6" t="s">
        <v>80</v>
      </c>
      <c r="G21" s="63" t="str">
        <f t="shared" si="4"/>
        <v>51697.4908</v>
      </c>
      <c r="H21" s="36">
        <f t="shared" si="5"/>
        <v>30068.5</v>
      </c>
      <c r="I21" s="72" t="s">
        <v>140</v>
      </c>
      <c r="J21" s="73" t="s">
        <v>141</v>
      </c>
      <c r="K21" s="72">
        <v>30068.5</v>
      </c>
      <c r="L21" s="72" t="s">
        <v>142</v>
      </c>
      <c r="M21" s="73" t="s">
        <v>102</v>
      </c>
      <c r="N21" s="73" t="s">
        <v>103</v>
      </c>
      <c r="O21" s="74" t="s">
        <v>113</v>
      </c>
      <c r="P21" s="75" t="s">
        <v>133</v>
      </c>
    </row>
    <row r="22" spans="1:16" ht="12.75" customHeight="1" thickBot="1">
      <c r="A22" s="36" t="str">
        <f t="shared" si="0"/>
        <v>IBVS 5583 </v>
      </c>
      <c r="B22" s="6" t="str">
        <f t="shared" si="1"/>
        <v>I</v>
      </c>
      <c r="C22" s="36">
        <f t="shared" si="2"/>
        <v>51714.5339</v>
      </c>
      <c r="D22" s="63" t="str">
        <f t="shared" si="3"/>
        <v>vis</v>
      </c>
      <c r="E22" s="71">
        <f>VLOOKUP(C22,Active!C$21:E$970,3,FALSE)</f>
        <v>25232.062646526043</v>
      </c>
      <c r="F22" s="6" t="s">
        <v>80</v>
      </c>
      <c r="G22" s="63" t="str">
        <f t="shared" si="4"/>
        <v>51714.5339</v>
      </c>
      <c r="H22" s="36">
        <f t="shared" si="5"/>
        <v>30119</v>
      </c>
      <c r="I22" s="72" t="s">
        <v>143</v>
      </c>
      <c r="J22" s="73" t="s">
        <v>144</v>
      </c>
      <c r="K22" s="72">
        <v>30119</v>
      </c>
      <c r="L22" s="72" t="s">
        <v>145</v>
      </c>
      <c r="M22" s="73" t="s">
        <v>102</v>
      </c>
      <c r="N22" s="73" t="s">
        <v>103</v>
      </c>
      <c r="O22" s="74" t="s">
        <v>113</v>
      </c>
      <c r="P22" s="75" t="s">
        <v>129</v>
      </c>
    </row>
    <row r="23" spans="1:16" ht="12.75" customHeight="1" thickBot="1">
      <c r="A23" s="36" t="str">
        <f t="shared" si="0"/>
        <v>IBVS 5583 </v>
      </c>
      <c r="B23" s="6" t="str">
        <f t="shared" si="1"/>
        <v>I</v>
      </c>
      <c r="C23" s="36">
        <f t="shared" si="2"/>
        <v>51752.4178</v>
      </c>
      <c r="D23" s="63" t="str">
        <f t="shared" si="3"/>
        <v>vis</v>
      </c>
      <c r="E23" s="71">
        <f>VLOOKUP(C23,Active!C$21:E$970,3,FALSE)</f>
        <v>25326.553033833738</v>
      </c>
      <c r="F23" s="6" t="s">
        <v>80</v>
      </c>
      <c r="G23" s="63" t="str">
        <f t="shared" si="4"/>
        <v>51752.4178</v>
      </c>
      <c r="H23" s="36">
        <f t="shared" si="5"/>
        <v>30232</v>
      </c>
      <c r="I23" s="72" t="s">
        <v>146</v>
      </c>
      <c r="J23" s="73" t="s">
        <v>147</v>
      </c>
      <c r="K23" s="72">
        <v>30232</v>
      </c>
      <c r="L23" s="72" t="s">
        <v>148</v>
      </c>
      <c r="M23" s="73" t="s">
        <v>102</v>
      </c>
      <c r="N23" s="73" t="s">
        <v>103</v>
      </c>
      <c r="O23" s="74" t="s">
        <v>113</v>
      </c>
      <c r="P23" s="75" t="s">
        <v>129</v>
      </c>
    </row>
    <row r="24" spans="1:16" ht="12.75" customHeight="1" thickBot="1">
      <c r="A24" s="36" t="str">
        <f t="shared" si="0"/>
        <v>OEJV 0074 </v>
      </c>
      <c r="B24" s="6" t="str">
        <f t="shared" si="1"/>
        <v>I</v>
      </c>
      <c r="C24" s="36">
        <f t="shared" si="2"/>
        <v>51956.69012</v>
      </c>
      <c r="D24" s="63" t="str">
        <f t="shared" si="3"/>
        <v>vis</v>
      </c>
      <c r="E24" s="71">
        <f>VLOOKUP(C24,Active!C$21:E$970,3,FALSE)</f>
        <v>25836.05101669824</v>
      </c>
      <c r="F24" s="6" t="s">
        <v>80</v>
      </c>
      <c r="G24" s="63" t="str">
        <f t="shared" si="4"/>
        <v>51956.69012</v>
      </c>
      <c r="H24" s="36">
        <f t="shared" si="5"/>
        <v>30840</v>
      </c>
      <c r="I24" s="72" t="s">
        <v>149</v>
      </c>
      <c r="J24" s="73" t="s">
        <v>150</v>
      </c>
      <c r="K24" s="72">
        <v>30840</v>
      </c>
      <c r="L24" s="72" t="s">
        <v>151</v>
      </c>
      <c r="M24" s="73" t="s">
        <v>152</v>
      </c>
      <c r="N24" s="73" t="s">
        <v>153</v>
      </c>
      <c r="O24" s="74" t="s">
        <v>154</v>
      </c>
      <c r="P24" s="75" t="s">
        <v>155</v>
      </c>
    </row>
    <row r="25" spans="1:16" ht="12.75" customHeight="1" thickBot="1">
      <c r="A25" s="36" t="str">
        <f t="shared" si="0"/>
        <v>IBVS 5583 </v>
      </c>
      <c r="B25" s="6" t="str">
        <f t="shared" si="1"/>
        <v>I</v>
      </c>
      <c r="C25" s="36">
        <f t="shared" si="2"/>
        <v>51965.7119</v>
      </c>
      <c r="D25" s="63" t="str">
        <f t="shared" si="3"/>
        <v>vis</v>
      </c>
      <c r="E25" s="71">
        <f>VLOOKUP(C25,Active!C$21:E$970,3,FALSE)</f>
        <v>25858.553227041026</v>
      </c>
      <c r="F25" s="6" t="s">
        <v>80</v>
      </c>
      <c r="G25" s="63" t="str">
        <f t="shared" si="4"/>
        <v>51965.7119</v>
      </c>
      <c r="H25" s="36">
        <f t="shared" si="5"/>
        <v>30867</v>
      </c>
      <c r="I25" s="72" t="s">
        <v>156</v>
      </c>
      <c r="J25" s="73" t="s">
        <v>157</v>
      </c>
      <c r="K25" s="72">
        <v>30867</v>
      </c>
      <c r="L25" s="72" t="s">
        <v>158</v>
      </c>
      <c r="M25" s="73" t="s">
        <v>102</v>
      </c>
      <c r="N25" s="73" t="s">
        <v>103</v>
      </c>
      <c r="O25" s="74" t="s">
        <v>113</v>
      </c>
      <c r="P25" s="75" t="s">
        <v>129</v>
      </c>
    </row>
    <row r="26" spans="1:16" ht="12.75" customHeight="1" thickBot="1">
      <c r="A26" s="36" t="str">
        <f t="shared" si="0"/>
        <v>IBVS 5583 </v>
      </c>
      <c r="B26" s="6" t="str">
        <f t="shared" si="1"/>
        <v>I</v>
      </c>
      <c r="C26" s="36">
        <f t="shared" si="2"/>
        <v>51982.5513</v>
      </c>
      <c r="D26" s="63" t="str">
        <f t="shared" si="3"/>
        <v>vis</v>
      </c>
      <c r="E26" s="71">
        <f>VLOOKUP(C26,Active!C$21:E$970,3,FALSE)</f>
        <v>25900.55422028694</v>
      </c>
      <c r="F26" s="6" t="s">
        <v>80</v>
      </c>
      <c r="G26" s="63" t="str">
        <f t="shared" si="4"/>
        <v>51982.5513</v>
      </c>
      <c r="H26" s="36">
        <f t="shared" si="5"/>
        <v>30917</v>
      </c>
      <c r="I26" s="72" t="s">
        <v>159</v>
      </c>
      <c r="J26" s="73" t="s">
        <v>160</v>
      </c>
      <c r="K26" s="72">
        <v>30917</v>
      </c>
      <c r="L26" s="72" t="s">
        <v>161</v>
      </c>
      <c r="M26" s="73" t="s">
        <v>102</v>
      </c>
      <c r="N26" s="73" t="s">
        <v>103</v>
      </c>
      <c r="O26" s="74" t="s">
        <v>113</v>
      </c>
      <c r="P26" s="75" t="s">
        <v>129</v>
      </c>
    </row>
    <row r="27" spans="1:16" ht="12.75" customHeight="1" thickBot="1">
      <c r="A27" s="36" t="str">
        <f t="shared" si="0"/>
        <v>IBVS 5583 </v>
      </c>
      <c r="B27" s="6" t="str">
        <f t="shared" si="1"/>
        <v>II</v>
      </c>
      <c r="C27" s="36">
        <f t="shared" si="2"/>
        <v>52002.5959</v>
      </c>
      <c r="D27" s="63" t="str">
        <f t="shared" si="3"/>
        <v>vis</v>
      </c>
      <c r="E27" s="71">
        <f>VLOOKUP(C27,Active!C$21:E$970,3,FALSE)</f>
        <v>25950.54965416328</v>
      </c>
      <c r="F27" s="6" t="s">
        <v>80</v>
      </c>
      <c r="G27" s="63" t="str">
        <f t="shared" si="4"/>
        <v>52002.5959</v>
      </c>
      <c r="H27" s="36">
        <f t="shared" si="5"/>
        <v>30976.5</v>
      </c>
      <c r="I27" s="72" t="s">
        <v>162</v>
      </c>
      <c r="J27" s="73" t="s">
        <v>163</v>
      </c>
      <c r="K27" s="72">
        <v>30976.5</v>
      </c>
      <c r="L27" s="72" t="s">
        <v>164</v>
      </c>
      <c r="M27" s="73" t="s">
        <v>102</v>
      </c>
      <c r="N27" s="73" t="s">
        <v>103</v>
      </c>
      <c r="O27" s="74" t="s">
        <v>113</v>
      </c>
      <c r="P27" s="75" t="s">
        <v>129</v>
      </c>
    </row>
    <row r="28" spans="1:16" ht="12.75" customHeight="1" thickBot="1">
      <c r="A28" s="36" t="str">
        <f t="shared" si="0"/>
        <v>IBVS 5583 </v>
      </c>
      <c r="B28" s="6" t="str">
        <f t="shared" si="1"/>
        <v>II</v>
      </c>
      <c r="C28" s="36">
        <f t="shared" si="2"/>
        <v>52031.4728</v>
      </c>
      <c r="D28" s="63" t="str">
        <f t="shared" si="3"/>
        <v>vis</v>
      </c>
      <c r="E28" s="71">
        <f>VLOOKUP(C28,Active!C$21:E$970,3,FALSE)</f>
        <v>26022.574695546184</v>
      </c>
      <c r="F28" s="6" t="s">
        <v>80</v>
      </c>
      <c r="G28" s="63" t="str">
        <f t="shared" si="4"/>
        <v>52031.4728</v>
      </c>
      <c r="H28" s="36">
        <f t="shared" si="5"/>
        <v>31062.5</v>
      </c>
      <c r="I28" s="72" t="s">
        <v>165</v>
      </c>
      <c r="J28" s="73" t="s">
        <v>166</v>
      </c>
      <c r="K28" s="72">
        <v>31062.5</v>
      </c>
      <c r="L28" s="72" t="s">
        <v>167</v>
      </c>
      <c r="M28" s="73" t="s">
        <v>102</v>
      </c>
      <c r="N28" s="73" t="s">
        <v>103</v>
      </c>
      <c r="O28" s="74" t="s">
        <v>113</v>
      </c>
      <c r="P28" s="75" t="s">
        <v>129</v>
      </c>
    </row>
    <row r="29" spans="1:16" ht="12.75" customHeight="1" thickBot="1">
      <c r="A29" s="36" t="str">
        <f t="shared" si="0"/>
        <v>OEJV 0074 </v>
      </c>
      <c r="B29" s="6" t="str">
        <f t="shared" si="1"/>
        <v>II</v>
      </c>
      <c r="C29" s="36">
        <f t="shared" si="2"/>
        <v>52033.464</v>
      </c>
      <c r="D29" s="63" t="str">
        <f t="shared" si="3"/>
        <v>vis</v>
      </c>
      <c r="E29" s="71">
        <f>VLOOKUP(C29,Active!C$21:E$970,3,FALSE)</f>
        <v>26027.54116571443</v>
      </c>
      <c r="F29" s="6" t="s">
        <v>80</v>
      </c>
      <c r="G29" s="63" t="str">
        <f t="shared" si="4"/>
        <v>52033.46400</v>
      </c>
      <c r="H29" s="36">
        <f t="shared" si="5"/>
        <v>31068.5</v>
      </c>
      <c r="I29" s="72" t="s">
        <v>168</v>
      </c>
      <c r="J29" s="73" t="s">
        <v>169</v>
      </c>
      <c r="K29" s="72">
        <v>31068.5</v>
      </c>
      <c r="L29" s="72" t="s">
        <v>170</v>
      </c>
      <c r="M29" s="73" t="s">
        <v>152</v>
      </c>
      <c r="N29" s="73" t="s">
        <v>153</v>
      </c>
      <c r="O29" s="74" t="s">
        <v>171</v>
      </c>
      <c r="P29" s="75" t="s">
        <v>155</v>
      </c>
    </row>
    <row r="30" spans="1:16" ht="12.75" customHeight="1" thickBot="1">
      <c r="A30" s="36" t="str">
        <f t="shared" si="0"/>
        <v>OEJV 0074 </v>
      </c>
      <c r="B30" s="6" t="str">
        <f t="shared" si="1"/>
        <v>I</v>
      </c>
      <c r="C30" s="36">
        <f t="shared" si="2"/>
        <v>52106.435</v>
      </c>
      <c r="D30" s="63" t="str">
        <f t="shared" si="3"/>
        <v>vis</v>
      </c>
      <c r="E30" s="71">
        <f>VLOOKUP(C30,Active!C$21:E$970,3,FALSE)</f>
        <v>26209.54613490264</v>
      </c>
      <c r="F30" s="6" t="s">
        <v>80</v>
      </c>
      <c r="G30" s="63" t="str">
        <f t="shared" si="4"/>
        <v>52106.435</v>
      </c>
      <c r="H30" s="36">
        <f t="shared" si="5"/>
        <v>31286</v>
      </c>
      <c r="I30" s="72" t="s">
        <v>184</v>
      </c>
      <c r="J30" s="73" t="s">
        <v>185</v>
      </c>
      <c r="K30" s="72">
        <v>31286</v>
      </c>
      <c r="L30" s="72" t="s">
        <v>186</v>
      </c>
      <c r="M30" s="73" t="s">
        <v>84</v>
      </c>
      <c r="N30" s="73"/>
      <c r="O30" s="74" t="s">
        <v>183</v>
      </c>
      <c r="P30" s="75" t="s">
        <v>155</v>
      </c>
    </row>
    <row r="31" spans="1:16" ht="12.75" customHeight="1" thickBot="1">
      <c r="A31" s="36" t="str">
        <f t="shared" si="0"/>
        <v>BAVM 173 </v>
      </c>
      <c r="B31" s="6" t="str">
        <f t="shared" si="1"/>
        <v>II</v>
      </c>
      <c r="C31" s="36">
        <f t="shared" si="2"/>
        <v>52741.4992</v>
      </c>
      <c r="D31" s="63" t="str">
        <f t="shared" si="3"/>
        <v>vis</v>
      </c>
      <c r="E31" s="71">
        <f>VLOOKUP(C31,Active!C$21:E$970,3,FALSE)</f>
        <v>27793.529363219943</v>
      </c>
      <c r="F31" s="6" t="s">
        <v>80</v>
      </c>
      <c r="G31" s="63" t="str">
        <f t="shared" si="4"/>
        <v>52741.4992</v>
      </c>
      <c r="H31" s="36">
        <f t="shared" si="5"/>
        <v>33176.5</v>
      </c>
      <c r="I31" s="72" t="s">
        <v>187</v>
      </c>
      <c r="J31" s="73" t="s">
        <v>188</v>
      </c>
      <c r="K31" s="72">
        <v>33176.5</v>
      </c>
      <c r="L31" s="72" t="s">
        <v>189</v>
      </c>
      <c r="M31" s="73" t="s">
        <v>102</v>
      </c>
      <c r="N31" s="73" t="s">
        <v>190</v>
      </c>
      <c r="O31" s="74" t="s">
        <v>191</v>
      </c>
      <c r="P31" s="75" t="s">
        <v>192</v>
      </c>
    </row>
    <row r="32" spans="1:16" ht="12.75" customHeight="1" thickBot="1">
      <c r="A32" s="36" t="str">
        <f t="shared" si="0"/>
        <v>IBVS 5583 </v>
      </c>
      <c r="B32" s="6" t="str">
        <f t="shared" si="1"/>
        <v>II</v>
      </c>
      <c r="C32" s="36">
        <f t="shared" si="2"/>
        <v>52828.5028</v>
      </c>
      <c r="D32" s="63" t="str">
        <f t="shared" si="3"/>
        <v>vis</v>
      </c>
      <c r="E32" s="71">
        <f>VLOOKUP(C32,Active!C$21:E$970,3,FALSE)</f>
        <v>28010.534578130868</v>
      </c>
      <c r="F32" s="6" t="s">
        <v>80</v>
      </c>
      <c r="G32" s="63" t="str">
        <f t="shared" si="4"/>
        <v>52828.5028</v>
      </c>
      <c r="H32" s="36">
        <f t="shared" si="5"/>
        <v>33435.5</v>
      </c>
      <c r="I32" s="72" t="s">
        <v>193</v>
      </c>
      <c r="J32" s="73" t="s">
        <v>194</v>
      </c>
      <c r="K32" s="72" t="s">
        <v>195</v>
      </c>
      <c r="L32" s="72" t="s">
        <v>196</v>
      </c>
      <c r="M32" s="73" t="s">
        <v>102</v>
      </c>
      <c r="N32" s="73" t="s">
        <v>103</v>
      </c>
      <c r="O32" s="74" t="s">
        <v>113</v>
      </c>
      <c r="P32" s="75" t="s">
        <v>129</v>
      </c>
    </row>
    <row r="33" spans="1:16" ht="12.75" customHeight="1" thickBot="1">
      <c r="A33" s="36" t="str">
        <f t="shared" si="0"/>
        <v>BAVM 173 </v>
      </c>
      <c r="B33" s="6" t="str">
        <f t="shared" si="1"/>
        <v>II</v>
      </c>
      <c r="C33" s="36">
        <f t="shared" si="2"/>
        <v>53082.4864</v>
      </c>
      <c r="D33" s="63" t="str">
        <f t="shared" si="3"/>
        <v>vis</v>
      </c>
      <c r="E33" s="71">
        <f>VLOOKUP(C33,Active!C$21:E$970,3,FALSE)</f>
        <v>28644.022913117547</v>
      </c>
      <c r="F33" s="6" t="s">
        <v>80</v>
      </c>
      <c r="G33" s="63" t="str">
        <f t="shared" si="4"/>
        <v>53082.4864</v>
      </c>
      <c r="H33" s="36">
        <f t="shared" si="5"/>
        <v>34191.5</v>
      </c>
      <c r="I33" s="72" t="s">
        <v>197</v>
      </c>
      <c r="J33" s="73" t="s">
        <v>198</v>
      </c>
      <c r="K33" s="72" t="s">
        <v>199</v>
      </c>
      <c r="L33" s="72" t="s">
        <v>200</v>
      </c>
      <c r="M33" s="73" t="s">
        <v>102</v>
      </c>
      <c r="N33" s="73" t="s">
        <v>153</v>
      </c>
      <c r="O33" s="74" t="s">
        <v>201</v>
      </c>
      <c r="P33" s="75" t="s">
        <v>192</v>
      </c>
    </row>
    <row r="34" spans="1:16" ht="12.75" customHeight="1" thickBot="1">
      <c r="A34" s="36" t="str">
        <f t="shared" si="0"/>
        <v>BAVM 173 </v>
      </c>
      <c r="B34" s="6" t="str">
        <f t="shared" si="1"/>
        <v>II</v>
      </c>
      <c r="C34" s="36">
        <f t="shared" si="2"/>
        <v>53117.3678</v>
      </c>
      <c r="D34" s="63" t="str">
        <f t="shared" si="3"/>
        <v>vis</v>
      </c>
      <c r="E34" s="71">
        <f>VLOOKUP(C34,Active!C$21:E$970,3,FALSE)</f>
        <v>28731.024436082036</v>
      </c>
      <c r="F34" s="6" t="s">
        <v>80</v>
      </c>
      <c r="G34" s="63" t="str">
        <f t="shared" si="4"/>
        <v>53117.3678</v>
      </c>
      <c r="H34" s="36">
        <f t="shared" si="5"/>
        <v>34295.5</v>
      </c>
      <c r="I34" s="72" t="s">
        <v>202</v>
      </c>
      <c r="J34" s="73" t="s">
        <v>203</v>
      </c>
      <c r="K34" s="72" t="s">
        <v>204</v>
      </c>
      <c r="L34" s="72" t="s">
        <v>205</v>
      </c>
      <c r="M34" s="73" t="s">
        <v>102</v>
      </c>
      <c r="N34" s="73" t="s">
        <v>153</v>
      </c>
      <c r="O34" s="74" t="s">
        <v>191</v>
      </c>
      <c r="P34" s="75" t="s">
        <v>192</v>
      </c>
    </row>
    <row r="35" spans="1:16" ht="12.75" customHeight="1" thickBot="1">
      <c r="A35" s="36" t="str">
        <f t="shared" si="0"/>
        <v>BAVM 173 </v>
      </c>
      <c r="B35" s="6" t="str">
        <f t="shared" si="1"/>
        <v>I</v>
      </c>
      <c r="C35" s="36">
        <f t="shared" si="2"/>
        <v>53117.5673</v>
      </c>
      <c r="D35" s="63" t="str">
        <f t="shared" si="3"/>
        <v>vis</v>
      </c>
      <c r="E35" s="71">
        <f>VLOOKUP(C35,Active!C$21:E$970,3,FALSE)</f>
        <v>28731.52203089852</v>
      </c>
      <c r="F35" s="6" t="s">
        <v>80</v>
      </c>
      <c r="G35" s="63" t="str">
        <f t="shared" si="4"/>
        <v>53117.5673</v>
      </c>
      <c r="H35" s="36">
        <f t="shared" si="5"/>
        <v>34296</v>
      </c>
      <c r="I35" s="72" t="s">
        <v>206</v>
      </c>
      <c r="J35" s="73" t="s">
        <v>207</v>
      </c>
      <c r="K35" s="72" t="s">
        <v>208</v>
      </c>
      <c r="L35" s="72" t="s">
        <v>209</v>
      </c>
      <c r="M35" s="73" t="s">
        <v>102</v>
      </c>
      <c r="N35" s="73" t="s">
        <v>153</v>
      </c>
      <c r="O35" s="74" t="s">
        <v>191</v>
      </c>
      <c r="P35" s="75" t="s">
        <v>192</v>
      </c>
    </row>
    <row r="36" spans="1:16" ht="12.75" customHeight="1" thickBot="1">
      <c r="A36" s="36" t="str">
        <f t="shared" si="0"/>
        <v>BAVM 173 </v>
      </c>
      <c r="B36" s="6" t="str">
        <f t="shared" si="1"/>
        <v>II</v>
      </c>
      <c r="C36" s="36">
        <f t="shared" si="2"/>
        <v>53123.3821</v>
      </c>
      <c r="D36" s="63" t="str">
        <f t="shared" si="3"/>
        <v>vis</v>
      </c>
      <c r="E36" s="71">
        <f>VLOOKUP(C36,Active!C$21:E$970,3,FALSE)</f>
        <v>28746.02536091778</v>
      </c>
      <c r="F36" s="6" t="s">
        <v>80</v>
      </c>
      <c r="G36" s="63" t="str">
        <f t="shared" si="4"/>
        <v>53123.3821</v>
      </c>
      <c r="H36" s="36">
        <f t="shared" si="5"/>
        <v>34313.5</v>
      </c>
      <c r="I36" s="72" t="s">
        <v>210</v>
      </c>
      <c r="J36" s="73" t="s">
        <v>211</v>
      </c>
      <c r="K36" s="72" t="s">
        <v>212</v>
      </c>
      <c r="L36" s="72" t="s">
        <v>213</v>
      </c>
      <c r="M36" s="73" t="s">
        <v>102</v>
      </c>
      <c r="N36" s="73" t="s">
        <v>153</v>
      </c>
      <c r="O36" s="74" t="s">
        <v>201</v>
      </c>
      <c r="P36" s="75" t="s">
        <v>192</v>
      </c>
    </row>
    <row r="37" spans="1:16" ht="12.75" customHeight="1" thickBot="1">
      <c r="A37" s="36" t="str">
        <f t="shared" si="0"/>
        <v>BAVM 173 </v>
      </c>
      <c r="B37" s="6" t="str">
        <f t="shared" si="1"/>
        <v>II</v>
      </c>
      <c r="C37" s="36">
        <f t="shared" si="2"/>
        <v>53221.4091</v>
      </c>
      <c r="D37" s="63" t="str">
        <f t="shared" si="3"/>
        <v>vis</v>
      </c>
      <c r="E37" s="71">
        <f>VLOOKUP(C37,Active!C$21:E$970,3,FALSE)</f>
        <v>28990.525246003814</v>
      </c>
      <c r="F37" s="6" t="s">
        <v>80</v>
      </c>
      <c r="G37" s="63" t="str">
        <f t="shared" si="4"/>
        <v>53221.4091</v>
      </c>
      <c r="H37" s="36">
        <f t="shared" si="5"/>
        <v>34605.5</v>
      </c>
      <c r="I37" s="72" t="s">
        <v>214</v>
      </c>
      <c r="J37" s="73" t="s">
        <v>215</v>
      </c>
      <c r="K37" s="72" t="s">
        <v>216</v>
      </c>
      <c r="L37" s="72" t="s">
        <v>217</v>
      </c>
      <c r="M37" s="73" t="s">
        <v>102</v>
      </c>
      <c r="N37" s="73" t="s">
        <v>190</v>
      </c>
      <c r="O37" s="74" t="s">
        <v>218</v>
      </c>
      <c r="P37" s="75" t="s">
        <v>192</v>
      </c>
    </row>
    <row r="38" spans="1:16" ht="12.75" customHeight="1" thickBot="1">
      <c r="A38" s="36" t="str">
        <f t="shared" si="0"/>
        <v>IBVS 5760 </v>
      </c>
      <c r="B38" s="6" t="str">
        <f t="shared" si="1"/>
        <v>I</v>
      </c>
      <c r="C38" s="36">
        <f t="shared" si="2"/>
        <v>53814.9762</v>
      </c>
      <c r="D38" s="63" t="str">
        <f t="shared" si="3"/>
        <v>vis</v>
      </c>
      <c r="E38" s="71">
        <f>VLOOKUP(C38,Active!C$21:E$970,3,FALSE)</f>
        <v>30471.006008863595</v>
      </c>
      <c r="F38" s="6" t="s">
        <v>80</v>
      </c>
      <c r="G38" s="63" t="str">
        <f t="shared" si="4"/>
        <v>53814.9762</v>
      </c>
      <c r="H38" s="36">
        <f t="shared" si="5"/>
        <v>36373</v>
      </c>
      <c r="I38" s="72" t="s">
        <v>219</v>
      </c>
      <c r="J38" s="73" t="s">
        <v>220</v>
      </c>
      <c r="K38" s="72" t="s">
        <v>221</v>
      </c>
      <c r="L38" s="72" t="s">
        <v>222</v>
      </c>
      <c r="M38" s="73" t="s">
        <v>152</v>
      </c>
      <c r="N38" s="73" t="s">
        <v>153</v>
      </c>
      <c r="O38" s="74" t="s">
        <v>223</v>
      </c>
      <c r="P38" s="75" t="s">
        <v>224</v>
      </c>
    </row>
    <row r="39" spans="1:16" ht="12.75" customHeight="1" thickBot="1">
      <c r="A39" s="36" t="str">
        <f t="shared" si="0"/>
        <v>BAVM 178 </v>
      </c>
      <c r="B39" s="6" t="str">
        <f t="shared" si="1"/>
        <v>II</v>
      </c>
      <c r="C39" s="36">
        <f t="shared" si="2"/>
        <v>53847.4493</v>
      </c>
      <c r="D39" s="63" t="str">
        <f t="shared" si="3"/>
        <v>vis</v>
      </c>
      <c r="E39" s="71">
        <f>VLOOKUP(C39,Active!C$21:E$970,3,FALSE)</f>
        <v>30552.000726833016</v>
      </c>
      <c r="F39" s="6" t="s">
        <v>80</v>
      </c>
      <c r="G39" s="63" t="str">
        <f t="shared" si="4"/>
        <v>53847.4493</v>
      </c>
      <c r="H39" s="36">
        <f t="shared" si="5"/>
        <v>36469.5</v>
      </c>
      <c r="I39" s="72" t="s">
        <v>225</v>
      </c>
      <c r="J39" s="73" t="s">
        <v>226</v>
      </c>
      <c r="K39" s="72" t="s">
        <v>227</v>
      </c>
      <c r="L39" s="72" t="s">
        <v>228</v>
      </c>
      <c r="M39" s="73" t="s">
        <v>152</v>
      </c>
      <c r="N39" s="73" t="s">
        <v>190</v>
      </c>
      <c r="O39" s="74" t="s">
        <v>191</v>
      </c>
      <c r="P39" s="75" t="s">
        <v>229</v>
      </c>
    </row>
    <row r="40" spans="1:16" ht="12.75" customHeight="1" thickBot="1">
      <c r="A40" s="36" t="str">
        <f t="shared" si="0"/>
        <v>BAVM 201 </v>
      </c>
      <c r="B40" s="6" t="str">
        <f t="shared" si="1"/>
        <v>II</v>
      </c>
      <c r="C40" s="36">
        <f t="shared" si="2"/>
        <v>54211.4893</v>
      </c>
      <c r="D40" s="63" t="str">
        <f t="shared" si="3"/>
        <v>vis</v>
      </c>
      <c r="E40" s="71">
        <f>VLOOKUP(C40,Active!C$21:E$970,3,FALSE)</f>
        <v>31459.992791944907</v>
      </c>
      <c r="F40" s="6" t="s">
        <v>80</v>
      </c>
      <c r="G40" s="63" t="str">
        <f t="shared" si="4"/>
        <v>54211.4893</v>
      </c>
      <c r="H40" s="36">
        <f t="shared" si="5"/>
        <v>37553.5</v>
      </c>
      <c r="I40" s="72" t="s">
        <v>230</v>
      </c>
      <c r="J40" s="73" t="s">
        <v>231</v>
      </c>
      <c r="K40" s="72" t="s">
        <v>232</v>
      </c>
      <c r="L40" s="72" t="s">
        <v>233</v>
      </c>
      <c r="M40" s="73" t="s">
        <v>152</v>
      </c>
      <c r="N40" s="73" t="s">
        <v>190</v>
      </c>
      <c r="O40" s="74" t="s">
        <v>234</v>
      </c>
      <c r="P40" s="75" t="s">
        <v>235</v>
      </c>
    </row>
    <row r="41" spans="1:16" ht="12.75" customHeight="1" thickBot="1">
      <c r="A41" s="36" t="str">
        <f t="shared" si="0"/>
        <v>BAVM 201 </v>
      </c>
      <c r="B41" s="6" t="str">
        <f t="shared" si="1"/>
        <v>II</v>
      </c>
      <c r="C41" s="36">
        <f t="shared" si="2"/>
        <v>54213.494</v>
      </c>
      <c r="D41" s="63" t="str">
        <f t="shared" si="3"/>
        <v>vis</v>
      </c>
      <c r="E41" s="71">
        <f>VLOOKUP(C41,Active!C$21:E$970,3,FALSE)</f>
        <v>31464.99293394284</v>
      </c>
      <c r="F41" s="6" t="s">
        <v>80</v>
      </c>
      <c r="G41" s="63" t="str">
        <f t="shared" si="4"/>
        <v>54213.4940</v>
      </c>
      <c r="H41" s="36">
        <f t="shared" si="5"/>
        <v>37559.5</v>
      </c>
      <c r="I41" s="72" t="s">
        <v>236</v>
      </c>
      <c r="J41" s="73" t="s">
        <v>237</v>
      </c>
      <c r="K41" s="72" t="s">
        <v>238</v>
      </c>
      <c r="L41" s="72" t="s">
        <v>239</v>
      </c>
      <c r="M41" s="73" t="s">
        <v>152</v>
      </c>
      <c r="N41" s="73" t="s">
        <v>190</v>
      </c>
      <c r="O41" s="74" t="s">
        <v>234</v>
      </c>
      <c r="P41" s="75" t="s">
        <v>235</v>
      </c>
    </row>
    <row r="42" spans="1:16" ht="12.75" customHeight="1" thickBot="1">
      <c r="A42" s="36" t="str">
        <f t="shared" si="0"/>
        <v>IBVS 5820 </v>
      </c>
      <c r="B42" s="6" t="str">
        <f t="shared" si="1"/>
        <v>I</v>
      </c>
      <c r="C42" s="36">
        <f t="shared" si="2"/>
        <v>54233.739</v>
      </c>
      <c r="D42" s="63" t="str">
        <f t="shared" si="3"/>
        <v>vis</v>
      </c>
      <c r="E42" s="71">
        <f>VLOOKUP(C42,Active!C$21:E$970,3,FALSE)</f>
        <v>31515.488207424307</v>
      </c>
      <c r="F42" s="6" t="s">
        <v>80</v>
      </c>
      <c r="G42" s="63" t="str">
        <f t="shared" si="4"/>
        <v>54233.739</v>
      </c>
      <c r="H42" s="36">
        <f t="shared" si="5"/>
        <v>37620</v>
      </c>
      <c r="I42" s="72" t="s">
        <v>240</v>
      </c>
      <c r="J42" s="73" t="s">
        <v>241</v>
      </c>
      <c r="K42" s="72" t="s">
        <v>242</v>
      </c>
      <c r="L42" s="72" t="s">
        <v>243</v>
      </c>
      <c r="M42" s="73" t="s">
        <v>152</v>
      </c>
      <c r="N42" s="73" t="s">
        <v>153</v>
      </c>
      <c r="O42" s="74" t="s">
        <v>223</v>
      </c>
      <c r="P42" s="75" t="s">
        <v>244</v>
      </c>
    </row>
    <row r="43" spans="1:16" ht="12.75" customHeight="1" thickBot="1">
      <c r="A43" s="36" t="str">
        <f aca="true" t="shared" si="6" ref="A43:A63">P43</f>
        <v>BAVM 186 </v>
      </c>
      <c r="B43" s="6" t="str">
        <f aca="true" t="shared" si="7" ref="B43:B63">IF(H43=INT(H43),"I","II")</f>
        <v>I</v>
      </c>
      <c r="C43" s="36">
        <f aca="true" t="shared" si="8" ref="C43:C63">1*G43</f>
        <v>54240.555</v>
      </c>
      <c r="D43" s="63" t="str">
        <f aca="true" t="shared" si="9" ref="D43:D63">VLOOKUP(F43,I$1:J$5,2,FALSE)</f>
        <v>vis</v>
      </c>
      <c r="E43" s="71">
        <f>VLOOKUP(C43,Active!C$21:E$970,3,FALSE)</f>
        <v>31532.48874010149</v>
      </c>
      <c r="F43" s="6" t="s">
        <v>80</v>
      </c>
      <c r="G43" s="63" t="str">
        <f aca="true" t="shared" si="10" ref="G43:G63">MID(I43,3,LEN(I43)-3)</f>
        <v>54240.5550</v>
      </c>
      <c r="H43" s="36">
        <f aca="true" t="shared" si="11" ref="H43:H63">1*K43</f>
        <v>37640</v>
      </c>
      <c r="I43" s="72" t="s">
        <v>245</v>
      </c>
      <c r="J43" s="73" t="s">
        <v>246</v>
      </c>
      <c r="K43" s="72" t="s">
        <v>247</v>
      </c>
      <c r="L43" s="72" t="s">
        <v>248</v>
      </c>
      <c r="M43" s="73" t="s">
        <v>152</v>
      </c>
      <c r="N43" s="73" t="s">
        <v>190</v>
      </c>
      <c r="O43" s="74" t="s">
        <v>191</v>
      </c>
      <c r="P43" s="75" t="s">
        <v>249</v>
      </c>
    </row>
    <row r="44" spans="1:16" ht="12.75" customHeight="1" thickBot="1">
      <c r="A44" s="36" t="str">
        <f t="shared" si="6"/>
        <v>BAVM 201 </v>
      </c>
      <c r="B44" s="6" t="str">
        <f t="shared" si="7"/>
        <v>II</v>
      </c>
      <c r="C44" s="36">
        <f t="shared" si="8"/>
        <v>54329.3611</v>
      </c>
      <c r="D44" s="63" t="str">
        <f t="shared" si="9"/>
        <v>vis</v>
      </c>
      <c r="E44" s="71">
        <f>VLOOKUP(C44,Active!C$21:E$970,3,FALSE)</f>
        <v>31753.98976782793</v>
      </c>
      <c r="F44" s="6" t="s">
        <v>80</v>
      </c>
      <c r="G44" s="63" t="str">
        <f t="shared" si="10"/>
        <v>54329.3611</v>
      </c>
      <c r="H44" s="36">
        <f t="shared" si="11"/>
        <v>37904.5</v>
      </c>
      <c r="I44" s="72" t="s">
        <v>250</v>
      </c>
      <c r="J44" s="73" t="s">
        <v>251</v>
      </c>
      <c r="K44" s="72" t="s">
        <v>252</v>
      </c>
      <c r="L44" s="72" t="s">
        <v>222</v>
      </c>
      <c r="M44" s="73" t="s">
        <v>152</v>
      </c>
      <c r="N44" s="73" t="s">
        <v>153</v>
      </c>
      <c r="O44" s="74" t="s">
        <v>234</v>
      </c>
      <c r="P44" s="75" t="s">
        <v>235</v>
      </c>
    </row>
    <row r="45" spans="1:16" ht="12.75" customHeight="1" thickBot="1">
      <c r="A45" s="36" t="str">
        <f t="shared" si="6"/>
        <v>BAVM 209 </v>
      </c>
      <c r="B45" s="6" t="str">
        <f t="shared" si="7"/>
        <v>I</v>
      </c>
      <c r="C45" s="36">
        <f t="shared" si="8"/>
        <v>54908.4961</v>
      </c>
      <c r="D45" s="63" t="str">
        <f t="shared" si="9"/>
        <v>vis</v>
      </c>
      <c r="E45" s="71">
        <f>VLOOKUP(C45,Active!C$21:E$970,3,FALSE)</f>
        <v>33198.47384822725</v>
      </c>
      <c r="F45" s="6" t="s">
        <v>80</v>
      </c>
      <c r="G45" s="63" t="str">
        <f t="shared" si="10"/>
        <v>54908.4961</v>
      </c>
      <c r="H45" s="36">
        <f t="shared" si="11"/>
        <v>39629</v>
      </c>
      <c r="I45" s="72" t="s">
        <v>253</v>
      </c>
      <c r="J45" s="73" t="s">
        <v>254</v>
      </c>
      <c r="K45" s="72" t="s">
        <v>255</v>
      </c>
      <c r="L45" s="72" t="s">
        <v>256</v>
      </c>
      <c r="M45" s="73" t="s">
        <v>152</v>
      </c>
      <c r="N45" s="73" t="s">
        <v>190</v>
      </c>
      <c r="O45" s="74" t="s">
        <v>191</v>
      </c>
      <c r="P45" s="75" t="s">
        <v>257</v>
      </c>
    </row>
    <row r="46" spans="1:16" ht="12.75" customHeight="1" thickBot="1">
      <c r="A46" s="36" t="str">
        <f t="shared" si="6"/>
        <v>BAVM 209 </v>
      </c>
      <c r="B46" s="6" t="str">
        <f t="shared" si="7"/>
        <v>I</v>
      </c>
      <c r="C46" s="36">
        <f t="shared" si="8"/>
        <v>54937.3581</v>
      </c>
      <c r="D46" s="63" t="str">
        <f t="shared" si="9"/>
        <v>vis</v>
      </c>
      <c r="E46" s="71">
        <f>VLOOKUP(C46,Active!C$21:E$970,3,FALSE)</f>
        <v>33270.46172588702</v>
      </c>
      <c r="F46" s="6" t="s">
        <v>80</v>
      </c>
      <c r="G46" s="63" t="str">
        <f t="shared" si="10"/>
        <v>54937.3581</v>
      </c>
      <c r="H46" s="36">
        <f t="shared" si="11"/>
        <v>39715</v>
      </c>
      <c r="I46" s="72" t="s">
        <v>263</v>
      </c>
      <c r="J46" s="73" t="s">
        <v>264</v>
      </c>
      <c r="K46" s="72" t="s">
        <v>265</v>
      </c>
      <c r="L46" s="72" t="s">
        <v>266</v>
      </c>
      <c r="M46" s="73" t="s">
        <v>152</v>
      </c>
      <c r="N46" s="73" t="s">
        <v>190</v>
      </c>
      <c r="O46" s="74" t="s">
        <v>191</v>
      </c>
      <c r="P46" s="75" t="s">
        <v>257</v>
      </c>
    </row>
    <row r="47" spans="1:16" ht="12.75" customHeight="1" thickBot="1">
      <c r="A47" s="36" t="str">
        <f t="shared" si="6"/>
        <v>BAVM 209 </v>
      </c>
      <c r="B47" s="6" t="str">
        <f t="shared" si="7"/>
        <v>II</v>
      </c>
      <c r="C47" s="36">
        <f t="shared" si="8"/>
        <v>54937.5646</v>
      </c>
      <c r="D47" s="63" t="str">
        <f t="shared" si="9"/>
        <v>vis</v>
      </c>
      <c r="E47" s="71">
        <f>VLOOKUP(C47,Active!C$21:E$970,3,FALSE)</f>
        <v>33270.97678017074</v>
      </c>
      <c r="F47" s="6" t="s">
        <v>80</v>
      </c>
      <c r="G47" s="63" t="str">
        <f t="shared" si="10"/>
        <v>54937.5646</v>
      </c>
      <c r="H47" s="36">
        <f t="shared" si="11"/>
        <v>39715.5</v>
      </c>
      <c r="I47" s="72" t="s">
        <v>267</v>
      </c>
      <c r="J47" s="73" t="s">
        <v>268</v>
      </c>
      <c r="K47" s="72" t="s">
        <v>269</v>
      </c>
      <c r="L47" s="72" t="s">
        <v>270</v>
      </c>
      <c r="M47" s="73" t="s">
        <v>152</v>
      </c>
      <c r="N47" s="73" t="s">
        <v>190</v>
      </c>
      <c r="O47" s="74" t="s">
        <v>191</v>
      </c>
      <c r="P47" s="75" t="s">
        <v>257</v>
      </c>
    </row>
    <row r="48" spans="1:16" ht="12.75" customHeight="1" thickBot="1">
      <c r="A48" s="36" t="str">
        <f t="shared" si="6"/>
        <v>BAVM 214 </v>
      </c>
      <c r="B48" s="6" t="str">
        <f t="shared" si="7"/>
        <v>II</v>
      </c>
      <c r="C48" s="36">
        <f t="shared" si="8"/>
        <v>55084.3007</v>
      </c>
      <c r="D48" s="63" t="str">
        <f t="shared" si="9"/>
        <v>vis</v>
      </c>
      <c r="E48" s="71">
        <f>VLOOKUP(C48,Active!C$21:E$970,3,FALSE)</f>
        <v>33636.96737039562</v>
      </c>
      <c r="F48" s="6" t="s">
        <v>80</v>
      </c>
      <c r="G48" s="63" t="str">
        <f t="shared" si="10"/>
        <v>55084.3007</v>
      </c>
      <c r="H48" s="36">
        <f t="shared" si="11"/>
        <v>40152.5</v>
      </c>
      <c r="I48" s="72" t="s">
        <v>271</v>
      </c>
      <c r="J48" s="73" t="s">
        <v>272</v>
      </c>
      <c r="K48" s="72" t="s">
        <v>273</v>
      </c>
      <c r="L48" s="72" t="s">
        <v>274</v>
      </c>
      <c r="M48" s="73" t="s">
        <v>152</v>
      </c>
      <c r="N48" s="73" t="s">
        <v>275</v>
      </c>
      <c r="O48" s="74" t="s">
        <v>276</v>
      </c>
      <c r="P48" s="75" t="s">
        <v>277</v>
      </c>
    </row>
    <row r="49" spans="1:16" ht="12.75" customHeight="1" thickBot="1">
      <c r="A49" s="36" t="str">
        <f t="shared" si="6"/>
        <v>BAVM 214 </v>
      </c>
      <c r="B49" s="6" t="str">
        <f t="shared" si="7"/>
        <v>II</v>
      </c>
      <c r="C49" s="36">
        <f t="shared" si="8"/>
        <v>55092.3198</v>
      </c>
      <c r="D49" s="63" t="str">
        <f t="shared" si="9"/>
        <v>vis</v>
      </c>
      <c r="E49" s="71">
        <f>VLOOKUP(C49,Active!C$21:E$970,3,FALSE)</f>
        <v>33656.96868665025</v>
      </c>
      <c r="F49" s="6" t="s">
        <v>80</v>
      </c>
      <c r="G49" s="63" t="str">
        <f t="shared" si="10"/>
        <v>55092.3198</v>
      </c>
      <c r="H49" s="36">
        <f t="shared" si="11"/>
        <v>40176.5</v>
      </c>
      <c r="I49" s="72" t="s">
        <v>278</v>
      </c>
      <c r="J49" s="73" t="s">
        <v>279</v>
      </c>
      <c r="K49" s="72" t="s">
        <v>280</v>
      </c>
      <c r="L49" s="72" t="s">
        <v>281</v>
      </c>
      <c r="M49" s="73" t="s">
        <v>152</v>
      </c>
      <c r="N49" s="73" t="s">
        <v>275</v>
      </c>
      <c r="O49" s="74" t="s">
        <v>276</v>
      </c>
      <c r="P49" s="75" t="s">
        <v>277</v>
      </c>
    </row>
    <row r="50" spans="1:16" ht="12.75" customHeight="1" thickBot="1">
      <c r="A50" s="36" t="str">
        <f t="shared" si="6"/>
        <v>IBVS 5945 </v>
      </c>
      <c r="B50" s="6" t="str">
        <f t="shared" si="7"/>
        <v>I</v>
      </c>
      <c r="C50" s="36">
        <f t="shared" si="8"/>
        <v>55311.8299</v>
      </c>
      <c r="D50" s="63" t="str">
        <f t="shared" si="9"/>
        <v>vis</v>
      </c>
      <c r="E50" s="71">
        <f>VLOOKUP(C50,Active!C$21:E$970,3,FALSE)</f>
        <v>34204.47288677089</v>
      </c>
      <c r="F50" s="6" t="s">
        <v>80</v>
      </c>
      <c r="G50" s="63" t="str">
        <f t="shared" si="10"/>
        <v>55311.8299</v>
      </c>
      <c r="H50" s="36">
        <f t="shared" si="11"/>
        <v>40830</v>
      </c>
      <c r="I50" s="72" t="s">
        <v>282</v>
      </c>
      <c r="J50" s="73" t="s">
        <v>283</v>
      </c>
      <c r="K50" s="72" t="s">
        <v>284</v>
      </c>
      <c r="L50" s="72" t="s">
        <v>285</v>
      </c>
      <c r="M50" s="73" t="s">
        <v>152</v>
      </c>
      <c r="N50" s="73" t="s">
        <v>80</v>
      </c>
      <c r="O50" s="74" t="s">
        <v>124</v>
      </c>
      <c r="P50" s="75" t="s">
        <v>286</v>
      </c>
    </row>
    <row r="51" spans="1:16" ht="12.75" customHeight="1" thickBot="1">
      <c r="A51" s="36" t="str">
        <f t="shared" si="6"/>
        <v>BAVM 214 </v>
      </c>
      <c r="B51" s="6" t="str">
        <f t="shared" si="7"/>
        <v>II</v>
      </c>
      <c r="C51" s="36">
        <f t="shared" si="8"/>
        <v>55341.4961</v>
      </c>
      <c r="D51" s="63" t="str">
        <f t="shared" si="9"/>
        <v>vis</v>
      </c>
      <c r="E51" s="71">
        <f>VLOOKUP(C51,Active!C$21:E$970,3,FALSE)</f>
        <v>34278.466607796116</v>
      </c>
      <c r="F51" s="6" t="s">
        <v>80</v>
      </c>
      <c r="G51" s="63" t="str">
        <f t="shared" si="10"/>
        <v>55341.4961</v>
      </c>
      <c r="H51" s="36">
        <f t="shared" si="11"/>
        <v>40918.5</v>
      </c>
      <c r="I51" s="72" t="s">
        <v>287</v>
      </c>
      <c r="J51" s="73" t="s">
        <v>288</v>
      </c>
      <c r="K51" s="72" t="s">
        <v>289</v>
      </c>
      <c r="L51" s="72" t="s">
        <v>290</v>
      </c>
      <c r="M51" s="73" t="s">
        <v>152</v>
      </c>
      <c r="N51" s="73" t="s">
        <v>190</v>
      </c>
      <c r="O51" s="74" t="s">
        <v>191</v>
      </c>
      <c r="P51" s="75" t="s">
        <v>277</v>
      </c>
    </row>
    <row r="52" spans="1:16" ht="12.75" customHeight="1" thickBot="1">
      <c r="A52" s="36" t="str">
        <f t="shared" si="6"/>
        <v>BAVM 214 </v>
      </c>
      <c r="B52" s="6" t="str">
        <f t="shared" si="7"/>
        <v>I</v>
      </c>
      <c r="C52" s="36">
        <f t="shared" si="8"/>
        <v>55358.5328</v>
      </c>
      <c r="D52" s="63" t="str">
        <f t="shared" si="9"/>
        <v>vis</v>
      </c>
      <c r="E52" s="71">
        <f>VLOOKUP(C52,Active!C$21:E$970,3,FALSE)</f>
        <v>34320.95970859739</v>
      </c>
      <c r="F52" s="6" t="s">
        <v>80</v>
      </c>
      <c r="G52" s="63" t="str">
        <f t="shared" si="10"/>
        <v>55358.5328</v>
      </c>
      <c r="H52" s="36">
        <f t="shared" si="11"/>
        <v>40969</v>
      </c>
      <c r="I52" s="72" t="s">
        <v>291</v>
      </c>
      <c r="J52" s="73" t="s">
        <v>292</v>
      </c>
      <c r="K52" s="72" t="s">
        <v>293</v>
      </c>
      <c r="L52" s="72" t="s">
        <v>294</v>
      </c>
      <c r="M52" s="73" t="s">
        <v>152</v>
      </c>
      <c r="N52" s="73" t="s">
        <v>190</v>
      </c>
      <c r="O52" s="74" t="s">
        <v>191</v>
      </c>
      <c r="P52" s="75" t="s">
        <v>277</v>
      </c>
    </row>
    <row r="53" spans="1:16" ht="12.75" customHeight="1" thickBot="1">
      <c r="A53" s="36" t="str">
        <f t="shared" si="6"/>
        <v>BAVM 215 </v>
      </c>
      <c r="B53" s="6" t="str">
        <f t="shared" si="7"/>
        <v>I</v>
      </c>
      <c r="C53" s="36">
        <f t="shared" si="8"/>
        <v>55388.4044</v>
      </c>
      <c r="D53" s="63" t="str">
        <f t="shared" si="9"/>
        <v>vis</v>
      </c>
      <c r="E53" s="71">
        <f>VLOOKUP(C53,Active!C$21:E$970,3,FALSE)</f>
        <v>34395.465740275766</v>
      </c>
      <c r="F53" s="6" t="s">
        <v>80</v>
      </c>
      <c r="G53" s="63" t="str">
        <f t="shared" si="10"/>
        <v>55388.4044</v>
      </c>
      <c r="H53" s="36">
        <f t="shared" si="11"/>
        <v>41058</v>
      </c>
      <c r="I53" s="72" t="s">
        <v>295</v>
      </c>
      <c r="J53" s="73" t="s">
        <v>296</v>
      </c>
      <c r="K53" s="72" t="s">
        <v>297</v>
      </c>
      <c r="L53" s="72" t="s">
        <v>298</v>
      </c>
      <c r="M53" s="73" t="s">
        <v>152</v>
      </c>
      <c r="N53" s="73" t="s">
        <v>190</v>
      </c>
      <c r="O53" s="74" t="s">
        <v>191</v>
      </c>
      <c r="P53" s="75" t="s">
        <v>299</v>
      </c>
    </row>
    <row r="54" spans="1:16" ht="12.75" customHeight="1" thickBot="1">
      <c r="A54" s="36" t="str">
        <f t="shared" si="6"/>
        <v>IBVS 5992 </v>
      </c>
      <c r="B54" s="6" t="str">
        <f t="shared" si="7"/>
        <v>II</v>
      </c>
      <c r="C54" s="36">
        <f t="shared" si="8"/>
        <v>55721.7693</v>
      </c>
      <c r="D54" s="63" t="str">
        <f t="shared" si="9"/>
        <v>vis</v>
      </c>
      <c r="E54" s="71">
        <f>VLOOKUP(C54,Active!C$21:E$970,3,FALSE)</f>
        <v>35226.94767629054</v>
      </c>
      <c r="F54" s="6" t="s">
        <v>80</v>
      </c>
      <c r="G54" s="63" t="str">
        <f t="shared" si="10"/>
        <v>55721.7693</v>
      </c>
      <c r="H54" s="36">
        <f t="shared" si="11"/>
        <v>42050.5</v>
      </c>
      <c r="I54" s="72" t="s">
        <v>300</v>
      </c>
      <c r="J54" s="73" t="s">
        <v>301</v>
      </c>
      <c r="K54" s="72" t="s">
        <v>302</v>
      </c>
      <c r="L54" s="72" t="s">
        <v>303</v>
      </c>
      <c r="M54" s="73" t="s">
        <v>152</v>
      </c>
      <c r="N54" s="73" t="s">
        <v>80</v>
      </c>
      <c r="O54" s="74" t="s">
        <v>124</v>
      </c>
      <c r="P54" s="75" t="s">
        <v>304</v>
      </c>
    </row>
    <row r="55" spans="1:16" ht="12.75" customHeight="1" thickBot="1">
      <c r="A55" s="36" t="str">
        <f t="shared" si="6"/>
        <v>BAVM 231 </v>
      </c>
      <c r="B55" s="6" t="str">
        <f t="shared" si="7"/>
        <v>II</v>
      </c>
      <c r="C55" s="36">
        <f t="shared" si="8"/>
        <v>56132.52</v>
      </c>
      <c r="D55" s="63" t="str">
        <f t="shared" si="9"/>
        <v>vis</v>
      </c>
      <c r="E55" s="71">
        <f>VLOOKUP(C55,Active!C$21:E$970,3,FALSE)</f>
        <v>36251.446018063834</v>
      </c>
      <c r="F55" s="6" t="s">
        <v>80</v>
      </c>
      <c r="G55" s="63" t="str">
        <f t="shared" si="10"/>
        <v>56132.5200</v>
      </c>
      <c r="H55" s="36">
        <f t="shared" si="11"/>
        <v>43273.5</v>
      </c>
      <c r="I55" s="72" t="s">
        <v>305</v>
      </c>
      <c r="J55" s="73" t="s">
        <v>306</v>
      </c>
      <c r="K55" s="72" t="s">
        <v>307</v>
      </c>
      <c r="L55" s="72" t="s">
        <v>308</v>
      </c>
      <c r="M55" s="73" t="s">
        <v>152</v>
      </c>
      <c r="N55" s="73" t="s">
        <v>190</v>
      </c>
      <c r="O55" s="74" t="s">
        <v>191</v>
      </c>
      <c r="P55" s="75" t="s">
        <v>309</v>
      </c>
    </row>
    <row r="56" spans="1:16" ht="12.75" customHeight="1" thickBot="1">
      <c r="A56" s="36" t="str">
        <f t="shared" si="6"/>
        <v> BRNO 32 </v>
      </c>
      <c r="B56" s="6" t="str">
        <f t="shared" si="7"/>
        <v>I</v>
      </c>
      <c r="C56" s="36">
        <f t="shared" si="8"/>
        <v>50278.4184</v>
      </c>
      <c r="D56" s="63" t="str">
        <f t="shared" si="9"/>
        <v>vis</v>
      </c>
      <c r="E56" s="71">
        <f>VLOOKUP(C56,Active!C$21:E$970,3,FALSE)</f>
        <v>21650.089570533863</v>
      </c>
      <c r="F56" s="6" t="s">
        <v>80</v>
      </c>
      <c r="G56" s="63" t="str">
        <f t="shared" si="10"/>
        <v>50278.4184</v>
      </c>
      <c r="H56" s="36">
        <f t="shared" si="11"/>
        <v>25844</v>
      </c>
      <c r="I56" s="72" t="s">
        <v>81</v>
      </c>
      <c r="J56" s="73" t="s">
        <v>82</v>
      </c>
      <c r="K56" s="72">
        <v>25844</v>
      </c>
      <c r="L56" s="72" t="s">
        <v>83</v>
      </c>
      <c r="M56" s="73" t="s">
        <v>84</v>
      </c>
      <c r="N56" s="73"/>
      <c r="O56" s="74" t="s">
        <v>85</v>
      </c>
      <c r="P56" s="74" t="s">
        <v>86</v>
      </c>
    </row>
    <row r="57" spans="1:16" ht="12.75" customHeight="1" thickBot="1">
      <c r="A57" s="36" t="str">
        <f t="shared" si="6"/>
        <v> BRNO 32 </v>
      </c>
      <c r="B57" s="6" t="str">
        <f t="shared" si="7"/>
        <v>I</v>
      </c>
      <c r="C57" s="36">
        <f t="shared" si="8"/>
        <v>50278.4219</v>
      </c>
      <c r="D57" s="63" t="str">
        <f t="shared" si="9"/>
        <v>vis</v>
      </c>
      <c r="E57" s="71">
        <f>VLOOKUP(C57,Active!C$21:E$970,3,FALSE)</f>
        <v>21650.09830026748</v>
      </c>
      <c r="F57" s="6" t="s">
        <v>80</v>
      </c>
      <c r="G57" s="63" t="str">
        <f t="shared" si="10"/>
        <v>50278.4219</v>
      </c>
      <c r="H57" s="36">
        <f t="shared" si="11"/>
        <v>25844</v>
      </c>
      <c r="I57" s="72" t="s">
        <v>87</v>
      </c>
      <c r="J57" s="73" t="s">
        <v>88</v>
      </c>
      <c r="K57" s="72">
        <v>25844</v>
      </c>
      <c r="L57" s="72" t="s">
        <v>89</v>
      </c>
      <c r="M57" s="73" t="s">
        <v>84</v>
      </c>
      <c r="N57" s="73"/>
      <c r="O57" s="74" t="s">
        <v>90</v>
      </c>
      <c r="P57" s="74" t="s">
        <v>86</v>
      </c>
    </row>
    <row r="58" spans="1:16" ht="12.75" customHeight="1" thickBot="1">
      <c r="A58" s="36" t="str">
        <f t="shared" si="6"/>
        <v> BRNO 32 </v>
      </c>
      <c r="B58" s="6" t="str">
        <f t="shared" si="7"/>
        <v>I</v>
      </c>
      <c r="C58" s="36">
        <f t="shared" si="8"/>
        <v>50278.4226</v>
      </c>
      <c r="D58" s="63" t="str">
        <f t="shared" si="9"/>
        <v>vis</v>
      </c>
      <c r="E58" s="71">
        <f>VLOOKUP(C58,Active!C$21:E$970,3,FALSE)</f>
        <v>21650.100046214196</v>
      </c>
      <c r="F58" s="6" t="s">
        <v>80</v>
      </c>
      <c r="G58" s="63" t="str">
        <f t="shared" si="10"/>
        <v>50278.4226</v>
      </c>
      <c r="H58" s="36">
        <f t="shared" si="11"/>
        <v>25844</v>
      </c>
      <c r="I58" s="72" t="s">
        <v>91</v>
      </c>
      <c r="J58" s="73" t="s">
        <v>92</v>
      </c>
      <c r="K58" s="72">
        <v>25844</v>
      </c>
      <c r="L58" s="72" t="s">
        <v>93</v>
      </c>
      <c r="M58" s="73" t="s">
        <v>84</v>
      </c>
      <c r="N58" s="73"/>
      <c r="O58" s="74" t="s">
        <v>94</v>
      </c>
      <c r="P58" s="74" t="s">
        <v>86</v>
      </c>
    </row>
    <row r="59" spans="1:16" ht="12.75" customHeight="1" thickBot="1">
      <c r="A59" s="36" t="str">
        <f t="shared" si="6"/>
        <v> BRNO 32 </v>
      </c>
      <c r="B59" s="6" t="str">
        <f t="shared" si="7"/>
        <v>I</v>
      </c>
      <c r="C59" s="36">
        <f t="shared" si="8"/>
        <v>50278.4254</v>
      </c>
      <c r="D59" s="63" t="str">
        <f t="shared" si="9"/>
        <v>vis</v>
      </c>
      <c r="E59" s="71">
        <f>VLOOKUP(C59,Active!C$21:E$970,3,FALSE)</f>
        <v>21650.1070300011</v>
      </c>
      <c r="F59" s="6" t="s">
        <v>80</v>
      </c>
      <c r="G59" s="63" t="str">
        <f t="shared" si="10"/>
        <v>50278.4254</v>
      </c>
      <c r="H59" s="36">
        <f t="shared" si="11"/>
        <v>25844</v>
      </c>
      <c r="I59" s="72" t="s">
        <v>95</v>
      </c>
      <c r="J59" s="73" t="s">
        <v>96</v>
      </c>
      <c r="K59" s="72">
        <v>25844</v>
      </c>
      <c r="L59" s="72" t="s">
        <v>97</v>
      </c>
      <c r="M59" s="73" t="s">
        <v>84</v>
      </c>
      <c r="N59" s="73"/>
      <c r="O59" s="74" t="s">
        <v>98</v>
      </c>
      <c r="P59" s="74" t="s">
        <v>86</v>
      </c>
    </row>
    <row r="60" spans="1:16" ht="12.75" customHeight="1" thickBot="1">
      <c r="A60" s="36" t="str">
        <f t="shared" si="6"/>
        <v>OEJV 0074 </v>
      </c>
      <c r="B60" s="6" t="str">
        <f t="shared" si="7"/>
        <v>I</v>
      </c>
      <c r="C60" s="36">
        <f t="shared" si="8"/>
        <v>52106.419</v>
      </c>
      <c r="D60" s="63" t="str">
        <f t="shared" si="9"/>
        <v>vis</v>
      </c>
      <c r="E60" s="71" t="e">
        <f>VLOOKUP(C60,Active!C$21:E$970,3,FALSE)</f>
        <v>#N/A</v>
      </c>
      <c r="F60" s="6" t="s">
        <v>80</v>
      </c>
      <c r="G60" s="63" t="str">
        <f t="shared" si="10"/>
        <v>52106.419</v>
      </c>
      <c r="H60" s="36">
        <f t="shared" si="11"/>
        <v>31286</v>
      </c>
      <c r="I60" s="72" t="s">
        <v>172</v>
      </c>
      <c r="J60" s="73" t="s">
        <v>173</v>
      </c>
      <c r="K60" s="72">
        <v>31286</v>
      </c>
      <c r="L60" s="72" t="s">
        <v>174</v>
      </c>
      <c r="M60" s="73" t="s">
        <v>84</v>
      </c>
      <c r="N60" s="73"/>
      <c r="O60" s="74" t="s">
        <v>175</v>
      </c>
      <c r="P60" s="75" t="s">
        <v>155</v>
      </c>
    </row>
    <row r="61" spans="1:16" ht="12.75" customHeight="1" thickBot="1">
      <c r="A61" s="36" t="str">
        <f t="shared" si="6"/>
        <v>OEJV 0074 </v>
      </c>
      <c r="B61" s="6" t="str">
        <f t="shared" si="7"/>
        <v>I</v>
      </c>
      <c r="C61" s="36">
        <f t="shared" si="8"/>
        <v>52106.427</v>
      </c>
      <c r="D61" s="63" t="str">
        <f t="shared" si="9"/>
        <v>vis</v>
      </c>
      <c r="E61" s="71" t="e">
        <f>VLOOKUP(C61,Active!C$21:E$970,3,FALSE)</f>
        <v>#N/A</v>
      </c>
      <c r="F61" s="6" t="s">
        <v>80</v>
      </c>
      <c r="G61" s="63" t="str">
        <f t="shared" si="10"/>
        <v>52106.427</v>
      </c>
      <c r="H61" s="36">
        <f t="shared" si="11"/>
        <v>31286</v>
      </c>
      <c r="I61" s="72" t="s">
        <v>176</v>
      </c>
      <c r="J61" s="73" t="s">
        <v>177</v>
      </c>
      <c r="K61" s="72">
        <v>31286</v>
      </c>
      <c r="L61" s="72" t="s">
        <v>178</v>
      </c>
      <c r="M61" s="73" t="s">
        <v>84</v>
      </c>
      <c r="N61" s="73"/>
      <c r="O61" s="74" t="s">
        <v>179</v>
      </c>
      <c r="P61" s="75" t="s">
        <v>155</v>
      </c>
    </row>
    <row r="62" spans="1:16" ht="12.75" customHeight="1" thickBot="1">
      <c r="A62" s="36" t="str">
        <f t="shared" si="6"/>
        <v>OEJV 0074 </v>
      </c>
      <c r="B62" s="6" t="str">
        <f t="shared" si="7"/>
        <v>I</v>
      </c>
      <c r="C62" s="36">
        <f t="shared" si="8"/>
        <v>52106.431</v>
      </c>
      <c r="D62" s="63" t="str">
        <f t="shared" si="9"/>
        <v>vis</v>
      </c>
      <c r="E62" s="71" t="e">
        <f>VLOOKUP(C62,Active!C$21:E$970,3,FALSE)</f>
        <v>#N/A</v>
      </c>
      <c r="F62" s="6" t="s">
        <v>80</v>
      </c>
      <c r="G62" s="63" t="str">
        <f t="shared" si="10"/>
        <v>52106.431</v>
      </c>
      <c r="H62" s="36">
        <f t="shared" si="11"/>
        <v>31286</v>
      </c>
      <c r="I62" s="72" t="s">
        <v>180</v>
      </c>
      <c r="J62" s="73" t="s">
        <v>181</v>
      </c>
      <c r="K62" s="72">
        <v>31286</v>
      </c>
      <c r="L62" s="72" t="s">
        <v>182</v>
      </c>
      <c r="M62" s="73" t="s">
        <v>84</v>
      </c>
      <c r="N62" s="73"/>
      <c r="O62" s="74" t="s">
        <v>183</v>
      </c>
      <c r="P62" s="75" t="s">
        <v>155</v>
      </c>
    </row>
    <row r="63" spans="1:16" ht="12.75" customHeight="1" thickBot="1">
      <c r="A63" s="36" t="str">
        <f t="shared" si="6"/>
        <v>BAVM 212 </v>
      </c>
      <c r="B63" s="6" t="str">
        <f t="shared" si="7"/>
        <v>I</v>
      </c>
      <c r="C63" s="36">
        <f t="shared" si="8"/>
        <v>54932.3537</v>
      </c>
      <c r="D63" s="63" t="str">
        <f t="shared" si="9"/>
        <v>vis</v>
      </c>
      <c r="E63" s="71">
        <f>VLOOKUP(C63,Active!C$21:E$970,3,FALSE)</f>
        <v>33257.979703332785</v>
      </c>
      <c r="F63" s="6" t="s">
        <v>80</v>
      </c>
      <c r="G63" s="63" t="str">
        <f t="shared" si="10"/>
        <v>54932.3537</v>
      </c>
      <c r="H63" s="36">
        <f t="shared" si="11"/>
        <v>39700</v>
      </c>
      <c r="I63" s="72" t="s">
        <v>258</v>
      </c>
      <c r="J63" s="73" t="s">
        <v>259</v>
      </c>
      <c r="K63" s="72" t="s">
        <v>260</v>
      </c>
      <c r="L63" s="72" t="s">
        <v>261</v>
      </c>
      <c r="M63" s="73" t="s">
        <v>152</v>
      </c>
      <c r="N63" s="73" t="s">
        <v>153</v>
      </c>
      <c r="O63" s="74" t="s">
        <v>201</v>
      </c>
      <c r="P63" s="75" t="s">
        <v>262</v>
      </c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</sheetData>
  <sheetProtection/>
  <hyperlinks>
    <hyperlink ref="P11" r:id="rId1" display="http://www.konkoly.hu/cgi-bin/IBVS?4887"/>
    <hyperlink ref="P12" r:id="rId2" display="http://www.konkoly.hu/cgi-bin/IBVS?4888"/>
    <hyperlink ref="P13" r:id="rId3" display="http://www.konkoly.hu/cgi-bin/IBVS?4888"/>
    <hyperlink ref="P14" r:id="rId4" display="http://www.konkoly.hu/cgi-bin/IBVS?5263"/>
    <hyperlink ref="P15" r:id="rId5" display="http://www.konkoly.hu/cgi-bin/IBVS?5263"/>
    <hyperlink ref="P16" r:id="rId6" display="http://www.konkoly.hu/cgi-bin/IBVS?5027"/>
    <hyperlink ref="P17" r:id="rId7" display="http://www.konkoly.hu/cgi-bin/IBVS?5583"/>
    <hyperlink ref="P18" r:id="rId8" display="http://www.konkoly.hu/cgi-bin/IBVS?5287"/>
    <hyperlink ref="P19" r:id="rId9" display="http://www.konkoly.hu/cgi-bin/IBVS?5287"/>
    <hyperlink ref="P20" r:id="rId10" display="http://www.konkoly.hu/cgi-bin/IBVS?5583"/>
    <hyperlink ref="P21" r:id="rId11" display="http://www.konkoly.hu/cgi-bin/IBVS?5287"/>
    <hyperlink ref="P22" r:id="rId12" display="http://www.konkoly.hu/cgi-bin/IBVS?5583"/>
    <hyperlink ref="P23" r:id="rId13" display="http://www.konkoly.hu/cgi-bin/IBVS?5583"/>
    <hyperlink ref="P24" r:id="rId14" display="http://var.astro.cz/oejv/issues/oejv0074.pdf"/>
    <hyperlink ref="P25" r:id="rId15" display="http://www.konkoly.hu/cgi-bin/IBVS?5583"/>
    <hyperlink ref="P26" r:id="rId16" display="http://www.konkoly.hu/cgi-bin/IBVS?5583"/>
    <hyperlink ref="P27" r:id="rId17" display="http://www.konkoly.hu/cgi-bin/IBVS?5583"/>
    <hyperlink ref="P28" r:id="rId18" display="http://www.konkoly.hu/cgi-bin/IBVS?5583"/>
    <hyperlink ref="P29" r:id="rId19" display="http://var.astro.cz/oejv/issues/oejv0074.pdf"/>
    <hyperlink ref="P60" r:id="rId20" display="http://var.astro.cz/oejv/issues/oejv0074.pdf"/>
    <hyperlink ref="P61" r:id="rId21" display="http://var.astro.cz/oejv/issues/oejv0074.pdf"/>
    <hyperlink ref="P62" r:id="rId22" display="http://var.astro.cz/oejv/issues/oejv0074.pdf"/>
    <hyperlink ref="P30" r:id="rId23" display="http://var.astro.cz/oejv/issues/oejv0074.pdf"/>
    <hyperlink ref="P31" r:id="rId24" display="http://www.bav-astro.de/sfs/BAVM_link.php?BAVMnr=173"/>
    <hyperlink ref="P32" r:id="rId25" display="http://www.konkoly.hu/cgi-bin/IBVS?5583"/>
    <hyperlink ref="P33" r:id="rId26" display="http://www.bav-astro.de/sfs/BAVM_link.php?BAVMnr=173"/>
    <hyperlink ref="P34" r:id="rId27" display="http://www.bav-astro.de/sfs/BAVM_link.php?BAVMnr=173"/>
    <hyperlink ref="P35" r:id="rId28" display="http://www.bav-astro.de/sfs/BAVM_link.php?BAVMnr=173"/>
    <hyperlink ref="P36" r:id="rId29" display="http://www.bav-astro.de/sfs/BAVM_link.php?BAVMnr=173"/>
    <hyperlink ref="P37" r:id="rId30" display="http://www.bav-astro.de/sfs/BAVM_link.php?BAVMnr=173"/>
    <hyperlink ref="P38" r:id="rId31" display="http://www.konkoly.hu/cgi-bin/IBVS?5760"/>
    <hyperlink ref="P39" r:id="rId32" display="http://www.bav-astro.de/sfs/BAVM_link.php?BAVMnr=178"/>
    <hyperlink ref="P40" r:id="rId33" display="http://www.bav-astro.de/sfs/BAVM_link.php?BAVMnr=201"/>
    <hyperlink ref="P41" r:id="rId34" display="http://www.bav-astro.de/sfs/BAVM_link.php?BAVMnr=201"/>
    <hyperlink ref="P42" r:id="rId35" display="http://www.konkoly.hu/cgi-bin/IBVS?5820"/>
    <hyperlink ref="P43" r:id="rId36" display="http://www.bav-astro.de/sfs/BAVM_link.php?BAVMnr=186"/>
    <hyperlink ref="P44" r:id="rId37" display="http://www.bav-astro.de/sfs/BAVM_link.php?BAVMnr=201"/>
    <hyperlink ref="P45" r:id="rId38" display="http://www.bav-astro.de/sfs/BAVM_link.php?BAVMnr=209"/>
    <hyperlink ref="P63" r:id="rId39" display="http://www.bav-astro.de/sfs/BAVM_link.php?BAVMnr=212"/>
    <hyperlink ref="P46" r:id="rId40" display="http://www.bav-astro.de/sfs/BAVM_link.php?BAVMnr=209"/>
    <hyperlink ref="P47" r:id="rId41" display="http://www.bav-astro.de/sfs/BAVM_link.php?BAVMnr=209"/>
    <hyperlink ref="P48" r:id="rId42" display="http://www.bav-astro.de/sfs/BAVM_link.php?BAVMnr=214"/>
    <hyperlink ref="P49" r:id="rId43" display="http://www.bav-astro.de/sfs/BAVM_link.php?BAVMnr=214"/>
    <hyperlink ref="P50" r:id="rId44" display="http://www.konkoly.hu/cgi-bin/IBVS?5945"/>
    <hyperlink ref="P51" r:id="rId45" display="http://www.bav-astro.de/sfs/BAVM_link.php?BAVMnr=214"/>
    <hyperlink ref="P52" r:id="rId46" display="http://www.bav-astro.de/sfs/BAVM_link.php?BAVMnr=214"/>
    <hyperlink ref="P53" r:id="rId47" display="http://www.bav-astro.de/sfs/BAVM_link.php?BAVMnr=215"/>
    <hyperlink ref="P54" r:id="rId48" display="http://www.konkoly.hu/cgi-bin/IBVS?5992"/>
    <hyperlink ref="P55" r:id="rId49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