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30" windowWidth="1440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<sst xmlns="http://schemas.openxmlformats.org/spreadsheetml/2006/main" count="63" uniqueCount="53">
  <si>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</si>
  <si>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</si>
  <si>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</si>
  <si>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</si>
  <si>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</si>
  <si>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</si>
  <si>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</si>
  <si>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</si>
  <si>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</si>
  <si>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</si>
  <si>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</si>
  <si>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</si>
  <si>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</si>
  <si>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</si>
  <si>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</si>
  <si>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</si>
  <si>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</si>
  <si>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</si>
  <si>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</si>
  <si>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</si>
  <si>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</si>
  <si>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</si>
  <si>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</si>
  <si>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</si>
  <si>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</si>
  <si>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</si>
  <si>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</si>
  <si>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</si>
  <si>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</si>
  <si>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</si>
  <si>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</si>
  <si>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Bull...16</t>
  </si>
  <si>
    <t>B</t>
  </si>
  <si>
    <t>phe</t>
  </si>
  <si>
    <t>K</t>
  </si>
  <si>
    <t>v</t>
  </si>
  <si>
    <t>BBSAG Bull.60</t>
  </si>
  <si>
    <t>IBVS 3737</t>
  </si>
  <si>
    <t>V</t>
  </si>
  <si>
    <t>BBSAG</t>
  </si>
  <si>
    <t>IBVS</t>
  </si>
  <si>
    <t># of data points:</t>
  </si>
  <si>
    <t>EA/SD</t>
  </si>
  <si>
    <t>TT Hya / GSC 06657-00122</t>
  </si>
  <si>
    <t>JAVSO..47..263</t>
  </si>
  <si>
    <t>I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</si>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</sst>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TT Hya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0.0019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crossBetween val="midCat"/>
        <c:dispUnits/>
      </c:val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28575</xdr:rowOff>
    </xdr:from>
    <xdr:to>
      <xdr:col>15</xdr:col>
      <xdr:colOff>495300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438775" y="285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9"/>
  <sheetViews>
    <sheetView tabSelected="1" zoomScalePageLayoutView="0" workbookViewId="0" topLeftCell="A1">
      <selection activeCell="F11" sqref="F10: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26</v>
      </c>
      <c r="B2" s="15" t="s">
        <v>42</v>
      </c>
    </row>
    <row r="4" spans="1:4" ht="12.75">
      <c r="A4" s="8" t="s">
        <v>0</v>
      </c>
      <c r="C4" s="3">
        <v>43918.106</v>
      </c>
      <c r="D4" s="4">
        <v>6.95342913</v>
      </c>
    </row>
    <row r="5" spans="1:3" ht="12.75">
      <c r="A5" s="5" t="s">
        <v>52</v>
      </c>
      <c r="C5" s="27">
        <v>-9.5</v>
      </c>
    </row>
    <row r="6" ht="12.75">
      <c r="A6" s="8" t="s">
        <v>1</v>
      </c>
    </row>
    <row r="7" spans="1:3" ht="12.75">
      <c r="A7" t="s">
        <v>2</v>
      </c>
      <c r="C7">
        <f>+C4</f>
        <v>43918.106</v>
      </c>
    </row>
    <row r="8" spans="1:3" ht="12.75">
      <c r="A8" t="s">
        <v>3</v>
      </c>
      <c r="C8">
        <f>+D4</f>
        <v>6.95342913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INTERCEPT(G21:G992,$F21:$F992)</f>
        <v>-0.005097083181979635</v>
      </c>
      <c r="D11" s="6"/>
    </row>
    <row r="12" spans="1:4" ht="12.75">
      <c r="A12" t="s">
        <v>17</v>
      </c>
      <c r="C12">
        <f>SLOPE(G21:G992,$F21:$F992)</f>
        <v>9.300147998218829E-05</v>
      </c>
      <c r="D12" s="6"/>
    </row>
    <row r="13" spans="1:6" ht="12.75">
      <c r="A13" t="s">
        <v>20</v>
      </c>
      <c r="C13" s="6" t="s">
        <v>14</v>
      </c>
      <c r="D13" s="6"/>
      <c r="E13" s="21" t="s">
        <v>46</v>
      </c>
      <c r="F13" s="22">
        <v>1</v>
      </c>
    </row>
    <row r="14" spans="1:6" ht="12.75">
      <c r="A14" t="s">
        <v>25</v>
      </c>
      <c r="E14" s="21" t="s">
        <v>47</v>
      </c>
      <c r="F14" s="23">
        <f ca="1">NOW()+15018.5+$C$5/24</f>
        <v>59901.713723263885</v>
      </c>
    </row>
    <row r="15" spans="1:6" ht="12.75">
      <c r="A15" s="5" t="s">
        <v>18</v>
      </c>
      <c r="C15" s="12">
        <f>(C7+C11)+(C8+C12)*INT(MAX(F21:F3533))</f>
        <v>58631.75373312846</v>
      </c>
      <c r="E15" s="21" t="s">
        <v>48</v>
      </c>
      <c r="F15" s="24">
        <f>ROUND(2*(F14-$C$7)/$C$8,0)/2+F13</f>
        <v>2299.5</v>
      </c>
    </row>
    <row r="16" spans="1:6" ht="12.75">
      <c r="A16" s="8" t="s">
        <v>4</v>
      </c>
      <c r="C16" s="13">
        <f>+C8+C12</f>
        <v>6.953522131479982</v>
      </c>
      <c r="E16" s="21" t="s">
        <v>49</v>
      </c>
      <c r="F16" s="11">
        <f>ROUND(2*(F14-$C$15)/$C$16,0)/2+F13</f>
        <v>183.5</v>
      </c>
    </row>
    <row r="17" spans="1:6" ht="13.5" thickBot="1">
      <c r="A17" s="14" t="s">
        <v>41</v>
      </c>
      <c r="C17">
        <f>COUNT(C21:C2191)</f>
        <v>6</v>
      </c>
      <c r="E17" s="21" t="s">
        <v>50</v>
      </c>
      <c r="F17" s="25">
        <f>+$C$15+$C$16*F16-15018.5-$C$5/24</f>
        <v>44889.62087758837</v>
      </c>
    </row>
    <row r="18" spans="1:6" ht="12.75">
      <c r="A18" s="8" t="s">
        <v>5</v>
      </c>
      <c r="C18" s="3">
        <f>+C15</f>
        <v>58631.75373312846</v>
      </c>
      <c r="D18" s="4">
        <f>+C16</f>
        <v>6.953522131479982</v>
      </c>
      <c r="F18" s="26" t="s">
        <v>51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39</v>
      </c>
      <c r="J20" s="10" t="s">
        <v>40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32" ht="12.75">
      <c r="A21" t="s">
        <v>31</v>
      </c>
      <c r="C21" s="16">
        <v>40253.613</v>
      </c>
      <c r="D21" s="17"/>
      <c r="E21">
        <f aca="true" t="shared" si="0" ref="E21:E26">+(C21-C$7)/C$8</f>
        <v>-527.0051555123856</v>
      </c>
      <c r="F21">
        <f aca="true" t="shared" si="1" ref="F21:F26">ROUND(2*E21,0)/2</f>
        <v>-527</v>
      </c>
      <c r="G21">
        <f>+C21-(C$7+F21*C$8)</f>
        <v>-0.035848489998898</v>
      </c>
      <c r="I21">
        <f>+G21</f>
        <v>-0.035848489998898</v>
      </c>
      <c r="O21">
        <f aca="true" t="shared" si="2" ref="O21:O26">+C$11+C$12*$F21</f>
        <v>-0.05410886313259286</v>
      </c>
      <c r="Q21" s="2">
        <f aca="true" t="shared" si="3" ref="Q21:Q26">+C21-15018.5</f>
        <v>25235.112999999998</v>
      </c>
      <c r="AC21">
        <v>24</v>
      </c>
      <c r="AD21" t="s">
        <v>30</v>
      </c>
      <c r="AF21" t="s">
        <v>32</v>
      </c>
    </row>
    <row r="22" spans="1:17" ht="12.75">
      <c r="A22" t="s">
        <v>12</v>
      </c>
      <c r="C22" s="17">
        <v>43918.106</v>
      </c>
      <c r="D22" s="17" t="s">
        <v>14</v>
      </c>
      <c r="E22">
        <f t="shared" si="0"/>
        <v>0</v>
      </c>
      <c r="F22">
        <f t="shared" si="1"/>
        <v>0</v>
      </c>
      <c r="G22">
        <f>+C22-(C$7+F22*C$8)</f>
        <v>0</v>
      </c>
      <c r="H22">
        <f>+G22</f>
        <v>0</v>
      </c>
      <c r="O22">
        <f t="shared" si="2"/>
        <v>-0.005097083181979635</v>
      </c>
      <c r="Q22" s="2">
        <f t="shared" si="3"/>
        <v>28899.606</v>
      </c>
    </row>
    <row r="23" spans="1:32" ht="12.75">
      <c r="A23" t="s">
        <v>36</v>
      </c>
      <c r="C23" s="16">
        <v>45079.438</v>
      </c>
      <c r="D23" s="17"/>
      <c r="E23">
        <f t="shared" si="0"/>
        <v>167.01572393821206</v>
      </c>
      <c r="F23">
        <f t="shared" si="1"/>
        <v>167</v>
      </c>
      <c r="I23" s="11">
        <v>0.10933528999885311</v>
      </c>
      <c r="O23">
        <f t="shared" si="2"/>
        <v>0.01043416397504581</v>
      </c>
      <c r="Q23" s="2">
        <f t="shared" si="3"/>
        <v>30060.938000000002</v>
      </c>
      <c r="AA23" t="s">
        <v>35</v>
      </c>
      <c r="AC23">
        <v>8</v>
      </c>
      <c r="AD23" t="s">
        <v>30</v>
      </c>
      <c r="AF23" t="s">
        <v>32</v>
      </c>
    </row>
    <row r="24" spans="1:32" ht="12.75">
      <c r="A24" t="s">
        <v>37</v>
      </c>
      <c r="C24" s="16">
        <v>48743.823</v>
      </c>
      <c r="D24" s="17"/>
      <c r="E24">
        <f t="shared" si="0"/>
        <v>694.0053475456932</v>
      </c>
      <c r="F24">
        <f t="shared" si="1"/>
        <v>694</v>
      </c>
      <c r="G24">
        <f>+C24-(C$7+F24*C$8)</f>
        <v>0.037183779997576494</v>
      </c>
      <c r="J24">
        <f>+G24</f>
        <v>0.037183779997576494</v>
      </c>
      <c r="O24">
        <f t="shared" si="2"/>
        <v>0.05944594392565903</v>
      </c>
      <c r="Q24" s="2">
        <f t="shared" si="3"/>
        <v>33725.323</v>
      </c>
      <c r="AA24" t="s">
        <v>33</v>
      </c>
      <c r="AB24" t="s">
        <v>32</v>
      </c>
      <c r="AF24" t="s">
        <v>34</v>
      </c>
    </row>
    <row r="25" spans="1:32" ht="12.75">
      <c r="A25" t="s">
        <v>37</v>
      </c>
      <c r="C25" s="16">
        <v>48743.826</v>
      </c>
      <c r="D25" s="17"/>
      <c r="E25">
        <f t="shared" si="0"/>
        <v>694.0057789874967</v>
      </c>
      <c r="F25">
        <f t="shared" si="1"/>
        <v>694</v>
      </c>
      <c r="G25">
        <f>+C25-(C$7+F25*C$8)</f>
        <v>0.04018378000182565</v>
      </c>
      <c r="J25">
        <f>+G25</f>
        <v>0.04018378000182565</v>
      </c>
      <c r="O25">
        <f t="shared" si="2"/>
        <v>0.05944594392565903</v>
      </c>
      <c r="Q25" s="2">
        <f t="shared" si="3"/>
        <v>33725.326</v>
      </c>
      <c r="AA25" t="s">
        <v>33</v>
      </c>
      <c r="AB25" t="s">
        <v>38</v>
      </c>
      <c r="AF25" t="s">
        <v>34</v>
      </c>
    </row>
    <row r="26" spans="1:28" ht="12.75">
      <c r="A26" s="18" t="s">
        <v>44</v>
      </c>
      <c r="B26" s="19" t="s">
        <v>45</v>
      </c>
      <c r="C26" s="20">
        <v>58631.7719</v>
      </c>
      <c r="D26" s="20">
        <v>0.0019</v>
      </c>
      <c r="E26">
        <f t="shared" si="0"/>
        <v>2116.0301809245593</v>
      </c>
      <c r="F26">
        <f t="shared" si="1"/>
        <v>2116</v>
      </c>
      <c r="G26">
        <f>+C26-(C$7+F26*C$8)</f>
        <v>0.2098609199965722</v>
      </c>
      <c r="J26">
        <f>+G26</f>
        <v>0.2098609199965722</v>
      </c>
      <c r="O26">
        <f t="shared" si="2"/>
        <v>0.19169404846033078</v>
      </c>
      <c r="Q26" s="2">
        <f t="shared" si="3"/>
        <v>43613.2719</v>
      </c>
      <c r="AA26" t="s">
        <v>33</v>
      </c>
      <c r="AB26" t="s">
        <v>38</v>
      </c>
    </row>
    <row r="27" spans="3:4" ht="12.75">
      <c r="C27" s="17"/>
      <c r="D27" s="17"/>
    </row>
    <row r="28" spans="3:4" ht="12.75">
      <c r="C28" s="17"/>
      <c r="D28" s="17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</sheetData>
  <sheetProtection/>
  <protectedRanges>
    <protectedRange sqref="A26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2022-11-18T04:07:56Z</dcterms:modified>
  <cp:category/>
  <cp:version/>
  <cp:contentType/>
  <cp:contentStatus/>
</cp:coreProperties>
</file>