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<sst xmlns="http://schemas.openxmlformats.org/spreadsheetml/2006/main" count="422" uniqueCount="205">
  <si>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</si>
  <si>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</si>
  <si>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</si>
  <si>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</si>
  <si>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</si>
  <si>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</si>
  <si>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</si>
  <si>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</si>
  <si>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</si>
  <si>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</si>
  <si>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</si>
  <si>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</si>
  <si>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</si>
  <si>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</si>
  <si>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</si>
  <si>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</si>
  <si>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</si>
  <si>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</si>
  <si>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</si>
  <si>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</si>
  <si>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</si>
  <si>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</si>
  <si>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</si>
  <si>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</si>
  <si>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</si>
  <si>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</si>
  <si>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</si>
  <si>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</si>
  <si>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</si>
  <si>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</si>
  <si>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</si>
  <si>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4888</t>
  </si>
  <si>
    <t>IBVS 5287</t>
  </si>
  <si>
    <t>I</t>
  </si>
  <si>
    <t>IBVS 4887</t>
  </si>
  <si>
    <t># of data points:</t>
  </si>
  <si>
    <t>EL Lac / GSC 03206-01935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</si>
  <si>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</si>
  <si>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</si>
  <si>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</si>
  <si>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</si>
  <si>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</si>
  <si>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</si>
  <si>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Add cycle</t>
  </si>
  <si>
    <t>Old Cycle</t>
  </si>
  <si>
    <t>Start of linear fit &gt;&gt;&gt;&gt;&gt;&gt;&gt;&gt;&gt;&gt;&gt;&gt;&gt;&gt;&gt;&gt;&gt;&gt;&gt;&gt;&gt;</t>
  </si>
  <si>
    <t>OEJV 0074</t>
  </si>
  <si>
    <t>CCD</t>
  </si>
  <si>
    <t>OEJV</t>
  </si>
  <si>
    <t>IBVS 6070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</si>
  <si>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</si>
  <si>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</si>
  <si>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</si>
  <si>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</si>
  <si>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</si>
  <si>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</si>
  <si>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</si>
  <si>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</si>
  <si>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</si>
  <si>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</si>
  <si>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-0.027 </t>
  </si>
  <si>
    <t>P </t>
  </si>
  <si>
    <t> 0.020 </t>
  </si>
  <si>
    <t>E </t>
  </si>
  <si>
    <t>?</t>
  </si>
  <si>
    <t> R.Diethelm </t>
  </si>
  <si>
    <t>o</t>
  </si>
  <si>
    <t>C </t>
  </si>
  <si>
    <t>-I</t>
  </si>
  <si>
    <t> F.Agerer </t>
  </si>
  <si>
    <t>BAVM 212 </t>
  </si>
  <si>
    <t>BAVM 231 </t>
  </si>
  <si>
    <t>2424413.0 </t>
  </si>
  <si>
    <t> 19.09.1925 12:00 </t>
  </si>
  <si>
    <t> -0.5 </t>
  </si>
  <si>
    <t> Ross </t>
  </si>
  <si>
    <t> AJ 36.168 </t>
  </si>
  <si>
    <t>2425502.506 </t>
  </si>
  <si>
    <t> 13.09.1928 00:08 </t>
  </si>
  <si>
    <t> -0.072 </t>
  </si>
  <si>
    <t> H.-U.Sandig </t>
  </si>
  <si>
    <t> AN 279.93 </t>
  </si>
  <si>
    <t>2425623.350 </t>
  </si>
  <si>
    <t> 11.01.1929 20:24 </t>
  </si>
  <si>
    <t> 0.080 </t>
  </si>
  <si>
    <t>2425651.290 </t>
  </si>
  <si>
    <t> 08.02.1929 18:57 </t>
  </si>
  <si>
    <t> -0.048 </t>
  </si>
  <si>
    <t>2426215.456 </t>
  </si>
  <si>
    <t> 26.08.1930 22:56 </t>
  </si>
  <si>
    <t> -0.047 </t>
  </si>
  <si>
    <t>2426350.222 </t>
  </si>
  <si>
    <t> 08.01.1931 17:19 </t>
  </si>
  <si>
    <t> -0.007 </t>
  </si>
  <si>
    <t>2426611.341 </t>
  </si>
  <si>
    <t> 26.09.1931 20:11 </t>
  </si>
  <si>
    <t>2426622.505 </t>
  </si>
  <si>
    <t> 08.10.1931 00:07 </t>
  </si>
  <si>
    <t> 0.017 </t>
  </si>
  <si>
    <t>2426928.467 </t>
  </si>
  <si>
    <t> 08.08.1932 23:12 </t>
  </si>
  <si>
    <t> 0.039 </t>
  </si>
  <si>
    <t>2426973.357 </t>
  </si>
  <si>
    <t> 22.09.1932 20:34 </t>
  </si>
  <si>
    <t>2427655.468 </t>
  </si>
  <si>
    <t> 05.08.1934 23:13 </t>
  </si>
  <si>
    <t> 0.081 </t>
  </si>
  <si>
    <t>2427683.484 </t>
  </si>
  <si>
    <t> 02.09.1934 23:36 </t>
  </si>
  <si>
    <t> 0.029 </t>
  </si>
  <si>
    <t>2428424.488 </t>
  </si>
  <si>
    <t> 12.09.1936 23:42 </t>
  </si>
  <si>
    <t> 0.040 </t>
  </si>
  <si>
    <t>2428834.372 </t>
  </si>
  <si>
    <t> 27.10.1937 20:55 </t>
  </si>
  <si>
    <t> 0.132 </t>
  </si>
  <si>
    <t>2429196.341 </t>
  </si>
  <si>
    <t> 24.10.1938 20:11 </t>
  </si>
  <si>
    <t> 0.025 </t>
  </si>
  <si>
    <t>2433190.340 </t>
  </si>
  <si>
    <t> 30.09.1949 20:09 </t>
  </si>
  <si>
    <t> -0.041 </t>
  </si>
  <si>
    <t>2433201.60 </t>
  </si>
  <si>
    <t> 12.10.1949 02:24 </t>
  </si>
  <si>
    <t> -0.01 </t>
  </si>
  <si>
    <t>2433204.388 </t>
  </si>
  <si>
    <t> 14.10.1949 21:18 </t>
  </si>
  <si>
    <t>V </t>
  </si>
  <si>
    <t>2439786.249 </t>
  </si>
  <si>
    <t> 22.10.1967 17:58 </t>
  </si>
  <si>
    <t> -0.093 </t>
  </si>
  <si>
    <t> G.Romano </t>
  </si>
  <si>
    <t> MSAI 43.327 </t>
  </si>
  <si>
    <t>2439817.289 </t>
  </si>
  <si>
    <t> 22.11.1967 18:56 </t>
  </si>
  <si>
    <t> 0.072 </t>
  </si>
  <si>
    <t>2440499.309 </t>
  </si>
  <si>
    <t> 04.10.1969 19:24 </t>
  </si>
  <si>
    <t> 0.041 </t>
  </si>
  <si>
    <t>2440527.259 </t>
  </si>
  <si>
    <t> 01.11.1969 18:12 </t>
  </si>
  <si>
    <t> -0.077 </t>
  </si>
  <si>
    <t>2440878.251 </t>
  </si>
  <si>
    <t> 18.10.1970 18:01 </t>
  </si>
  <si>
    <t> 0.066 </t>
  </si>
  <si>
    <t>2441209.306 </t>
  </si>
  <si>
    <t> 14.09.1971 19:20 </t>
  </si>
  <si>
    <t> -0.080 </t>
  </si>
  <si>
    <t>2444855.461 </t>
  </si>
  <si>
    <t> 07.09.1981 23:03 </t>
  </si>
  <si>
    <t> 0.052 </t>
  </si>
  <si>
    <t> J.Silhan </t>
  </si>
  <si>
    <t> BRNO 26 </t>
  </si>
  <si>
    <t>2445916.449 </t>
  </si>
  <si>
    <t> 03.08.1984 22:46 </t>
  </si>
  <si>
    <t> 0.073 </t>
  </si>
  <si>
    <t> J.Borovicka </t>
  </si>
  <si>
    <t> BRNO 27 </t>
  </si>
  <si>
    <t>2450609.4717 </t>
  </si>
  <si>
    <t> 09.06.1997 23:19 </t>
  </si>
  <si>
    <t> 0.1393 </t>
  </si>
  <si>
    <t> J.Safar </t>
  </si>
  <si>
    <t>IBVS 4887 </t>
  </si>
  <si>
    <t>2450943.4750 </t>
  </si>
  <si>
    <t> 09.05.1998 23:24 </t>
  </si>
  <si>
    <t> 0.1343 </t>
  </si>
  <si>
    <t> M.Zejda </t>
  </si>
  <si>
    <t>IBVS 4888 </t>
  </si>
  <si>
    <t>2451075.39 </t>
  </si>
  <si>
    <t> 18.09.1998 21:21 </t>
  </si>
  <si>
    <t> 0.13 </t>
  </si>
  <si>
    <t> BBS 119 </t>
  </si>
  <si>
    <t>2451134.3174 </t>
  </si>
  <si>
    <t> 16.11.1998 19:37 </t>
  </si>
  <si>
    <t> 0.1149 </t>
  </si>
  <si>
    <t> M.Netolicky </t>
  </si>
  <si>
    <t> BRNO 32 </t>
  </si>
  <si>
    <t>2451799.5457 </t>
  </si>
  <si>
    <t> 12.09.2000 01:05 </t>
  </si>
  <si>
    <t> 0.1335 </t>
  </si>
  <si>
    <t>IBVS 5287 </t>
  </si>
  <si>
    <t>2452119.51430 </t>
  </si>
  <si>
    <t> 29.07.2001 00:20 </t>
  </si>
  <si>
    <t> 0.12776 </t>
  </si>
  <si>
    <t> Koss et al. </t>
  </si>
  <si>
    <t>OEJV 0074 </t>
  </si>
  <si>
    <t>2452133.5491 </t>
  </si>
  <si>
    <t> 12.08.2001 01:10 </t>
  </si>
  <si>
    <t> 0.1286 </t>
  </si>
  <si>
    <t> BBS 126 </t>
  </si>
  <si>
    <t>2453343.2715 </t>
  </si>
  <si>
    <t> 03.12.2004 18:30 </t>
  </si>
  <si>
    <t> 0.1237 </t>
  </si>
  <si>
    <t> E. Blättler </t>
  </si>
  <si>
    <t>IBVS 5653 </t>
  </si>
  <si>
    <t>2455041.3850 </t>
  </si>
  <si>
    <t> 28.07.2009 21:14 </t>
  </si>
  <si>
    <t> 0.1280 </t>
  </si>
  <si>
    <t>2456158.4894 </t>
  </si>
  <si>
    <t> 18.08.2012 23:44 </t>
  </si>
  <si>
    <t>10922</t>
  </si>
  <si>
    <t> 0.1292 </t>
  </si>
  <si>
    <t>R</t>
  </si>
  <si>
    <t> M.&amp; K.Rätz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</si>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</sst>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0.0028</c:v>
                  </c:pt>
                  <c:pt idx="28">
                    <c:v>0.0076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0.0021</c:v>
                  </c:pt>
                  <c:pt idx="32">
                    <c:v>0</c:v>
                  </c:pt>
                  <c:pt idx="33">
                    <c:v>0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0.0001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926897"/>
        <c:axId val="17342074"/>
      </c:scatterChart>
      <c:valAx>
        <c:axId val="1926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crossBetween val="midCat"/>
        <c:dispUnits/>
      </c:valAx>
      <c:valAx>
        <c:axId val="1734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93125"/>
          <c:w val="0.859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371475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4562475" y="0"/>
        <a:ext cx="5905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konkoly.hu/cgi-bin/IBVS?5653" TargetMode="External" /><Relationship Id="rId6" Type="http://schemas.openxmlformats.org/officeDocument/2006/relationships/hyperlink" Target="http://www.bav-astro.de/sfs/BAVM_link.php?BAVMnr=212" TargetMode="External" /><Relationship Id="rId7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24</v>
      </c>
      <c r="B2" t="s">
        <v>30</v>
      </c>
    </row>
    <row r="3" ht="13.5" thickBot="1"/>
    <row r="4" spans="1:4" ht="14.25" thickBot="1" thickTop="1">
      <c r="A4" s="6" t="s">
        <v>0</v>
      </c>
      <c r="C4" s="3">
        <v>25502.578</v>
      </c>
      <c r="D4" s="4">
        <v>2.806792</v>
      </c>
    </row>
    <row r="5" spans="1:4" ht="13.5" thickTop="1">
      <c r="A5" s="17" t="s">
        <v>38</v>
      </c>
      <c r="B5" s="18"/>
      <c r="C5" s="19">
        <v>-9.5</v>
      </c>
      <c r="D5" s="18" t="s">
        <v>39</v>
      </c>
    </row>
    <row r="6" ht="12.75">
      <c r="A6" s="6" t="s">
        <v>1</v>
      </c>
    </row>
    <row r="7" spans="1:3" ht="12.75">
      <c r="A7" t="s">
        <v>2</v>
      </c>
      <c r="C7">
        <f>+C4</f>
        <v>25502.578</v>
      </c>
    </row>
    <row r="8" spans="1:3" ht="12.75">
      <c r="A8" t="s">
        <v>3</v>
      </c>
      <c r="C8">
        <f>+D4</f>
        <v>2.806792</v>
      </c>
    </row>
    <row r="9" spans="1:4" ht="12.75">
      <c r="A9" s="33" t="s">
        <v>45</v>
      </c>
      <c r="B9" s="34">
        <v>21</v>
      </c>
      <c r="C9" s="31" t="str">
        <f>"F"&amp;B9</f>
        <v>F21</v>
      </c>
      <c r="D9" s="32" t="str">
        <f>"G"&amp;B9</f>
        <v>G21</v>
      </c>
    </row>
    <row r="10" spans="1:5" ht="13.5" thickBot="1">
      <c r="A10" s="18"/>
      <c r="B10" s="18"/>
      <c r="C10" s="5" t="s">
        <v>20</v>
      </c>
      <c r="D10" s="5" t="s">
        <v>21</v>
      </c>
      <c r="E10" s="18"/>
    </row>
    <row r="11" spans="1:5" ht="12.75">
      <c r="A11" s="18" t="s">
        <v>16</v>
      </c>
      <c r="B11" s="18"/>
      <c r="C11" s="30">
        <f ca="1">INTERCEPT(INDIRECT($D$9):G992,INDIRECT($C$9):F992)</f>
        <v>-0.0031654705138898093</v>
      </c>
      <c r="D11" s="20"/>
      <c r="E11" s="18"/>
    </row>
    <row r="12" spans="1:5" ht="12.75">
      <c r="A12" s="18" t="s">
        <v>17</v>
      </c>
      <c r="B12" s="18"/>
      <c r="C12" s="30">
        <f ca="1">SLOPE(INDIRECT($D$9):G992,INDIRECT($C$9):F992)</f>
        <v>1.1047274239951007E-05</v>
      </c>
      <c r="D12" s="20"/>
      <c r="E12" s="18"/>
    </row>
    <row r="13" spans="1:3" ht="12.75">
      <c r="A13" s="18" t="s">
        <v>19</v>
      </c>
      <c r="B13" s="18"/>
      <c r="C13" s="20" t="s">
        <v>14</v>
      </c>
    </row>
    <row r="14" spans="1:3" ht="12.75">
      <c r="A14" s="18"/>
      <c r="B14" s="18"/>
      <c r="C14" s="18"/>
    </row>
    <row r="15" spans="1:6" ht="12.75">
      <c r="A15" s="21" t="s">
        <v>18</v>
      </c>
      <c r="B15" s="18"/>
      <c r="C15" s="22">
        <f>(C7+C11)+(C8+C12)*INT(MAX(F21:F3533))</f>
        <v>56158.47771685874</v>
      </c>
      <c r="E15" s="23" t="s">
        <v>43</v>
      </c>
      <c r="F15" s="19">
        <v>1</v>
      </c>
    </row>
    <row r="16" spans="1:6" ht="12.75">
      <c r="A16" s="25" t="s">
        <v>4</v>
      </c>
      <c r="B16" s="18"/>
      <c r="C16" s="26">
        <f>+C8+C12</f>
        <v>2.80680304727424</v>
      </c>
      <c r="E16" s="23" t="s">
        <v>40</v>
      </c>
      <c r="F16" s="24">
        <f ca="1">NOW()+15018.5+$C$5/24</f>
        <v>59902.63800381944</v>
      </c>
    </row>
    <row r="17" spans="1:6" ht="13.5" thickBot="1">
      <c r="A17" s="23" t="s">
        <v>35</v>
      </c>
      <c r="B17" s="18"/>
      <c r="C17" s="18">
        <f>COUNT(C21:C2191)</f>
        <v>37</v>
      </c>
      <c r="E17" s="23" t="s">
        <v>44</v>
      </c>
      <c r="F17" s="24">
        <f>ROUND(2*(F16-$C$7)/$C$8,0)/2+F15</f>
        <v>12257</v>
      </c>
    </row>
    <row r="18" spans="1:6" ht="14.25" thickBot="1" thickTop="1">
      <c r="A18" s="25" t="s">
        <v>5</v>
      </c>
      <c r="B18" s="18"/>
      <c r="C18" s="28">
        <f>+C15</f>
        <v>56158.47771685874</v>
      </c>
      <c r="D18" s="29">
        <f>+C16</f>
        <v>2.80680304727424</v>
      </c>
      <c r="E18" s="23" t="s">
        <v>41</v>
      </c>
      <c r="F18" s="32">
        <f>ROUND(2*(F16-$C$15)/$C$16,0)/2+F15</f>
        <v>1335</v>
      </c>
    </row>
    <row r="19" spans="5:6" ht="13.5" thickTop="1">
      <c r="E19" s="23" t="s">
        <v>42</v>
      </c>
      <c r="F19" s="27">
        <f>+$C$15+$C$16*F18-15018.5-$C$5/24</f>
        <v>44887.45561830318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48</v>
      </c>
      <c r="K20" s="8" t="s">
        <v>25</v>
      </c>
      <c r="L20" s="8" t="s">
        <v>26</v>
      </c>
      <c r="M20" s="8" t="s">
        <v>27</v>
      </c>
      <c r="N20" s="8" t="s">
        <v>28</v>
      </c>
      <c r="O20" s="8" t="s">
        <v>23</v>
      </c>
      <c r="P20" s="7" t="s">
        <v>22</v>
      </c>
      <c r="Q20" s="5" t="s">
        <v>15</v>
      </c>
      <c r="U20" s="57" t="s">
        <v>204</v>
      </c>
    </row>
    <row r="21" spans="1:21" ht="12.75">
      <c r="A21" s="54" t="s">
        <v>76</v>
      </c>
      <c r="B21" s="56" t="s">
        <v>33</v>
      </c>
      <c r="C21" s="55">
        <v>24413</v>
      </c>
      <c r="D21" s="55" t="s">
        <v>59</v>
      </c>
      <c r="E21">
        <f aca="true" t="shared" si="0" ref="E21:E57">+(C21-C$7)/C$8</f>
        <v>-388.19335383598116</v>
      </c>
      <c r="F21">
        <f aca="true" t="shared" si="1" ref="F21:F57">ROUND(2*E21,0)/2</f>
        <v>-388</v>
      </c>
      <c r="O21">
        <f aca="true" t="shared" si="2" ref="O21:O57">+C$11+C$12*$F21</f>
        <v>-0.0074518129189908005</v>
      </c>
      <c r="Q21" s="2">
        <f aca="true" t="shared" si="3" ref="Q21:Q57">+C21-15018.5</f>
        <v>9394.5</v>
      </c>
      <c r="U21">
        <f>+C21-(C$7+F21*C$8)</f>
        <v>-0.5427039999995031</v>
      </c>
    </row>
    <row r="22" spans="1:17" ht="12.75">
      <c r="A22" s="54" t="s">
        <v>81</v>
      </c>
      <c r="B22" s="56" t="s">
        <v>33</v>
      </c>
      <c r="C22" s="55">
        <v>25502.506</v>
      </c>
      <c r="D22" s="55" t="s">
        <v>59</v>
      </c>
      <c r="E22">
        <f t="shared" si="0"/>
        <v>-0.025652061143154326</v>
      </c>
      <c r="F22">
        <f t="shared" si="1"/>
        <v>0</v>
      </c>
      <c r="G22">
        <f>+C22-(C$7+F22*C$8)</f>
        <v>-0.07200000000011642</v>
      </c>
      <c r="K22">
        <f>+G22</f>
        <v>-0.07200000000011642</v>
      </c>
      <c r="O22">
        <f t="shared" si="2"/>
        <v>-0.0031654705138898093</v>
      </c>
      <c r="Q22" s="2">
        <f t="shared" si="3"/>
        <v>10484.006000000001</v>
      </c>
    </row>
    <row r="23" spans="1:17" ht="12.75">
      <c r="A23" t="s">
        <v>12</v>
      </c>
      <c r="C23" s="16">
        <v>25502.578</v>
      </c>
      <c r="D23" s="16" t="s">
        <v>14</v>
      </c>
      <c r="E23">
        <f t="shared" si="0"/>
        <v>0</v>
      </c>
      <c r="F23">
        <f t="shared" si="1"/>
        <v>0</v>
      </c>
      <c r="H23">
        <v>0</v>
      </c>
      <c r="O23">
        <f t="shared" si="2"/>
        <v>-0.0031654705138898093</v>
      </c>
      <c r="Q23" s="2">
        <f t="shared" si="3"/>
        <v>10484.078000000001</v>
      </c>
    </row>
    <row r="24" spans="1:17" ht="12.75">
      <c r="A24" s="54" t="s">
        <v>81</v>
      </c>
      <c r="B24" s="56" t="s">
        <v>33</v>
      </c>
      <c r="C24" s="55">
        <v>25623.35</v>
      </c>
      <c r="D24" s="55" t="s">
        <v>59</v>
      </c>
      <c r="E24">
        <f t="shared" si="0"/>
        <v>43.0284823385549</v>
      </c>
      <c r="F24">
        <f t="shared" si="1"/>
        <v>43</v>
      </c>
      <c r="G24">
        <f aca="true" t="shared" si="4" ref="G24:G57">+C24-(C$7+F24*C$8)</f>
        <v>0.07994399999734014</v>
      </c>
      <c r="K24">
        <f aca="true" t="shared" si="5" ref="K24:K47">+G24</f>
        <v>0.07994399999734014</v>
      </c>
      <c r="O24">
        <f t="shared" si="2"/>
        <v>-0.002690437721571916</v>
      </c>
      <c r="Q24" s="2">
        <f t="shared" si="3"/>
        <v>10604.849999999999</v>
      </c>
    </row>
    <row r="25" spans="1:17" ht="12.75">
      <c r="A25" s="54" t="s">
        <v>81</v>
      </c>
      <c r="B25" s="56" t="s">
        <v>33</v>
      </c>
      <c r="C25" s="55">
        <v>25651.29</v>
      </c>
      <c r="D25" s="55" t="s">
        <v>59</v>
      </c>
      <c r="E25">
        <f t="shared" si="0"/>
        <v>52.98290717659147</v>
      </c>
      <c r="F25">
        <f t="shared" si="1"/>
        <v>53</v>
      </c>
      <c r="G25">
        <f t="shared" si="4"/>
        <v>-0.04797600000165403</v>
      </c>
      <c r="K25">
        <f t="shared" si="5"/>
        <v>-0.04797600000165403</v>
      </c>
      <c r="O25">
        <f t="shared" si="2"/>
        <v>-0.002579964979172406</v>
      </c>
      <c r="Q25" s="2">
        <f t="shared" si="3"/>
        <v>10632.79</v>
      </c>
    </row>
    <row r="26" spans="1:17" ht="12.75">
      <c r="A26" s="54" t="s">
        <v>81</v>
      </c>
      <c r="B26" s="56" t="s">
        <v>33</v>
      </c>
      <c r="C26" s="55">
        <v>26215.456</v>
      </c>
      <c r="D26" s="55" t="s">
        <v>59</v>
      </c>
      <c r="E26">
        <f t="shared" si="0"/>
        <v>253.98319504972116</v>
      </c>
      <c r="F26">
        <f t="shared" si="1"/>
        <v>254</v>
      </c>
      <c r="G26">
        <f t="shared" si="4"/>
        <v>-0.04716800000460353</v>
      </c>
      <c r="K26">
        <f t="shared" si="5"/>
        <v>-0.04716800000460353</v>
      </c>
      <c r="O26">
        <f t="shared" si="2"/>
        <v>-0.00035946285694225333</v>
      </c>
      <c r="Q26" s="2">
        <f t="shared" si="3"/>
        <v>11196.955999999998</v>
      </c>
    </row>
    <row r="27" spans="1:17" ht="12.75">
      <c r="A27" s="54" t="s">
        <v>81</v>
      </c>
      <c r="B27" s="56" t="s">
        <v>33</v>
      </c>
      <c r="C27" s="55">
        <v>26350.222</v>
      </c>
      <c r="D27" s="55" t="s">
        <v>59</v>
      </c>
      <c r="E27">
        <f t="shared" si="0"/>
        <v>301.9974404943438</v>
      </c>
      <c r="F27">
        <f t="shared" si="1"/>
        <v>302</v>
      </c>
      <c r="G27">
        <f t="shared" si="4"/>
        <v>-0.007183999998233048</v>
      </c>
      <c r="K27">
        <f t="shared" si="5"/>
        <v>-0.007183999998233048</v>
      </c>
      <c r="O27">
        <f t="shared" si="2"/>
        <v>0.0001708063065753952</v>
      </c>
      <c r="Q27" s="2">
        <f t="shared" si="3"/>
        <v>11331.722000000002</v>
      </c>
    </row>
    <row r="28" spans="1:17" ht="12.75">
      <c r="A28" s="54" t="s">
        <v>81</v>
      </c>
      <c r="B28" s="56" t="s">
        <v>33</v>
      </c>
      <c r="C28" s="55">
        <v>26611.341</v>
      </c>
      <c r="D28" s="55" t="s">
        <v>59</v>
      </c>
      <c r="E28">
        <f t="shared" si="0"/>
        <v>395.02855929473895</v>
      </c>
      <c r="F28">
        <f t="shared" si="1"/>
        <v>395</v>
      </c>
      <c r="G28">
        <f t="shared" si="4"/>
        <v>0.08015999999770429</v>
      </c>
      <c r="K28">
        <f t="shared" si="5"/>
        <v>0.08015999999770429</v>
      </c>
      <c r="O28">
        <f t="shared" si="2"/>
        <v>0.0011982028108908386</v>
      </c>
      <c r="Q28" s="2">
        <f t="shared" si="3"/>
        <v>11592.841</v>
      </c>
    </row>
    <row r="29" spans="1:17" ht="12.75">
      <c r="A29" s="54" t="s">
        <v>81</v>
      </c>
      <c r="B29" s="56" t="s">
        <v>33</v>
      </c>
      <c r="C29" s="55">
        <v>26622.505</v>
      </c>
      <c r="D29" s="55" t="s">
        <v>59</v>
      </c>
      <c r="E29">
        <f t="shared" si="0"/>
        <v>399.00605388642964</v>
      </c>
      <c r="F29">
        <f t="shared" si="1"/>
        <v>399</v>
      </c>
      <c r="G29">
        <f t="shared" si="4"/>
        <v>0.01699200000075507</v>
      </c>
      <c r="K29">
        <f t="shared" si="5"/>
        <v>0.01699200000075507</v>
      </c>
      <c r="O29">
        <f t="shared" si="2"/>
        <v>0.0012423919078506426</v>
      </c>
      <c r="Q29" s="2">
        <f t="shared" si="3"/>
        <v>11604.005000000001</v>
      </c>
    </row>
    <row r="30" spans="1:17" ht="12.75">
      <c r="A30" s="54" t="s">
        <v>81</v>
      </c>
      <c r="B30" s="56" t="s">
        <v>33</v>
      </c>
      <c r="C30" s="55">
        <v>26928.467</v>
      </c>
      <c r="D30" s="55" t="s">
        <v>59</v>
      </c>
      <c r="E30">
        <f t="shared" si="0"/>
        <v>508.01377515683356</v>
      </c>
      <c r="F30">
        <f t="shared" si="1"/>
        <v>508</v>
      </c>
      <c r="G30">
        <f t="shared" si="4"/>
        <v>0.03866399999969872</v>
      </c>
      <c r="K30">
        <f t="shared" si="5"/>
        <v>0.03866399999969872</v>
      </c>
      <c r="O30">
        <f t="shared" si="2"/>
        <v>0.0024465448000053026</v>
      </c>
      <c r="Q30" s="2">
        <f t="shared" si="3"/>
        <v>11909.967</v>
      </c>
    </row>
    <row r="31" spans="1:17" ht="12.75">
      <c r="A31" s="54" t="s">
        <v>81</v>
      </c>
      <c r="B31" s="56" t="s">
        <v>33</v>
      </c>
      <c r="C31" s="55">
        <v>26973.357</v>
      </c>
      <c r="D31" s="55" t="s">
        <v>59</v>
      </c>
      <c r="E31">
        <f t="shared" si="0"/>
        <v>524.0071227223102</v>
      </c>
      <c r="F31">
        <f t="shared" si="1"/>
        <v>524</v>
      </c>
      <c r="G31">
        <f t="shared" si="4"/>
        <v>0.01999199999772827</v>
      </c>
      <c r="K31">
        <f t="shared" si="5"/>
        <v>0.01999199999772827</v>
      </c>
      <c r="O31">
        <f t="shared" si="2"/>
        <v>0.0026233011878445183</v>
      </c>
      <c r="Q31" s="2">
        <f t="shared" si="3"/>
        <v>11954.857</v>
      </c>
    </row>
    <row r="32" spans="1:17" ht="12.75">
      <c r="A32" s="54" t="s">
        <v>81</v>
      </c>
      <c r="B32" s="56" t="s">
        <v>33</v>
      </c>
      <c r="C32" s="55">
        <v>27655.468</v>
      </c>
      <c r="D32" s="55" t="s">
        <v>59</v>
      </c>
      <c r="E32">
        <f t="shared" si="0"/>
        <v>767.0286932555028</v>
      </c>
      <c r="F32">
        <f t="shared" si="1"/>
        <v>767</v>
      </c>
      <c r="G32">
        <f t="shared" si="4"/>
        <v>0.08053600000130245</v>
      </c>
      <c r="K32">
        <f t="shared" si="5"/>
        <v>0.08053600000130245</v>
      </c>
      <c r="O32">
        <f t="shared" si="2"/>
        <v>0.005307788828152613</v>
      </c>
      <c r="Q32" s="2">
        <f t="shared" si="3"/>
        <v>12636.968</v>
      </c>
    </row>
    <row r="33" spans="1:17" ht="12.75">
      <c r="A33" s="54" t="s">
        <v>81</v>
      </c>
      <c r="B33" s="56" t="s">
        <v>33</v>
      </c>
      <c r="C33" s="55">
        <v>27683.484</v>
      </c>
      <c r="D33" s="55" t="s">
        <v>59</v>
      </c>
      <c r="E33">
        <f t="shared" si="0"/>
        <v>777.0101952691895</v>
      </c>
      <c r="F33">
        <f t="shared" si="1"/>
        <v>777</v>
      </c>
      <c r="G33">
        <f t="shared" si="4"/>
        <v>0.028615999999601627</v>
      </c>
      <c r="K33">
        <f t="shared" si="5"/>
        <v>0.028615999999601627</v>
      </c>
      <c r="O33">
        <f t="shared" si="2"/>
        <v>0.0054182615705521235</v>
      </c>
      <c r="Q33" s="2">
        <f t="shared" si="3"/>
        <v>12664.984</v>
      </c>
    </row>
    <row r="34" spans="1:17" ht="12.75">
      <c r="A34" s="54" t="s">
        <v>81</v>
      </c>
      <c r="B34" s="56" t="s">
        <v>33</v>
      </c>
      <c r="C34" s="55">
        <v>28424.488</v>
      </c>
      <c r="D34" s="55" t="s">
        <v>59</v>
      </c>
      <c r="E34">
        <f t="shared" si="0"/>
        <v>1041.0140829815675</v>
      </c>
      <c r="F34">
        <f t="shared" si="1"/>
        <v>1041</v>
      </c>
      <c r="G34">
        <f t="shared" si="4"/>
        <v>0.039528000001155306</v>
      </c>
      <c r="K34">
        <f t="shared" si="5"/>
        <v>0.039528000001155306</v>
      </c>
      <c r="O34">
        <f t="shared" si="2"/>
        <v>0.00833474196989919</v>
      </c>
      <c r="Q34" s="2">
        <f t="shared" si="3"/>
        <v>13405.988000000001</v>
      </c>
    </row>
    <row r="35" spans="1:17" ht="12.75">
      <c r="A35" s="54" t="s">
        <v>81</v>
      </c>
      <c r="B35" s="56" t="s">
        <v>33</v>
      </c>
      <c r="C35" s="55">
        <v>28834.372</v>
      </c>
      <c r="D35" s="55" t="s">
        <v>59</v>
      </c>
      <c r="E35">
        <f t="shared" si="0"/>
        <v>1187.0469917257844</v>
      </c>
      <c r="F35">
        <f t="shared" si="1"/>
        <v>1187</v>
      </c>
      <c r="G35">
        <f t="shared" si="4"/>
        <v>0.13189599999896018</v>
      </c>
      <c r="K35">
        <f t="shared" si="5"/>
        <v>0.13189599999896018</v>
      </c>
      <c r="O35">
        <f t="shared" si="2"/>
        <v>0.009947644008932036</v>
      </c>
      <c r="Q35" s="2">
        <f t="shared" si="3"/>
        <v>13815.872</v>
      </c>
    </row>
    <row r="36" spans="1:17" ht="12.75">
      <c r="A36" s="54" t="s">
        <v>81</v>
      </c>
      <c r="B36" s="56" t="s">
        <v>33</v>
      </c>
      <c r="C36" s="55">
        <v>29196.341</v>
      </c>
      <c r="D36" s="55" t="s">
        <v>59</v>
      </c>
      <c r="E36">
        <f t="shared" si="0"/>
        <v>1316.0088100578878</v>
      </c>
      <c r="F36">
        <f t="shared" si="1"/>
        <v>1316</v>
      </c>
      <c r="G36">
        <f t="shared" si="4"/>
        <v>0.024728000000322936</v>
      </c>
      <c r="K36">
        <f t="shared" si="5"/>
        <v>0.024728000000322936</v>
      </c>
      <c r="O36">
        <f t="shared" si="2"/>
        <v>0.011372742385885716</v>
      </c>
      <c r="Q36" s="2">
        <f t="shared" si="3"/>
        <v>14177.841</v>
      </c>
    </row>
    <row r="37" spans="1:17" ht="12.75">
      <c r="A37" s="54" t="s">
        <v>81</v>
      </c>
      <c r="B37" s="56" t="s">
        <v>33</v>
      </c>
      <c r="C37" s="55">
        <v>33190.34</v>
      </c>
      <c r="D37" s="55" t="s">
        <v>59</v>
      </c>
      <c r="E37">
        <f t="shared" si="0"/>
        <v>2738.9852899680473</v>
      </c>
      <c r="F37">
        <f t="shared" si="1"/>
        <v>2739</v>
      </c>
      <c r="G37">
        <f t="shared" si="4"/>
        <v>-0.04128800000762567</v>
      </c>
      <c r="K37">
        <f t="shared" si="5"/>
        <v>-0.04128800000762567</v>
      </c>
      <c r="O37">
        <f t="shared" si="2"/>
        <v>0.027093013629336</v>
      </c>
      <c r="Q37" s="2">
        <f t="shared" si="3"/>
        <v>18171.839999999997</v>
      </c>
    </row>
    <row r="38" spans="1:17" ht="12.75">
      <c r="A38" s="54" t="s">
        <v>81</v>
      </c>
      <c r="B38" s="56" t="s">
        <v>33</v>
      </c>
      <c r="C38" s="55">
        <v>33201.6</v>
      </c>
      <c r="D38" s="55" t="s">
        <v>59</v>
      </c>
      <c r="E38">
        <f t="shared" si="0"/>
        <v>2742.996987307929</v>
      </c>
      <c r="F38">
        <f t="shared" si="1"/>
        <v>2743</v>
      </c>
      <c r="G38">
        <f t="shared" si="4"/>
        <v>-0.00845600000320701</v>
      </c>
      <c r="K38">
        <f t="shared" si="5"/>
        <v>-0.00845600000320701</v>
      </c>
      <c r="O38">
        <f t="shared" si="2"/>
        <v>0.027137202726295804</v>
      </c>
      <c r="Q38" s="2">
        <f t="shared" si="3"/>
        <v>18183.1</v>
      </c>
    </row>
    <row r="39" spans="1:17" ht="12.75">
      <c r="A39" s="54" t="s">
        <v>81</v>
      </c>
      <c r="B39" s="56" t="s">
        <v>33</v>
      </c>
      <c r="C39" s="55">
        <v>33204.388</v>
      </c>
      <c r="D39" s="55" t="s">
        <v>59</v>
      </c>
      <c r="E39">
        <f t="shared" si="0"/>
        <v>2743.990292119971</v>
      </c>
      <c r="F39">
        <f t="shared" si="1"/>
        <v>2744</v>
      </c>
      <c r="G39">
        <f t="shared" si="4"/>
        <v>-0.02724800000578398</v>
      </c>
      <c r="K39">
        <f t="shared" si="5"/>
        <v>-0.02724800000578398</v>
      </c>
      <c r="O39">
        <f t="shared" si="2"/>
        <v>0.027148250000535754</v>
      </c>
      <c r="Q39" s="2">
        <f t="shared" si="3"/>
        <v>18185.888</v>
      </c>
    </row>
    <row r="40" spans="1:17" ht="12.75">
      <c r="A40" s="54" t="s">
        <v>132</v>
      </c>
      <c r="B40" s="56" t="s">
        <v>33</v>
      </c>
      <c r="C40" s="55">
        <v>39786.249</v>
      </c>
      <c r="D40" s="55" t="s">
        <v>59</v>
      </c>
      <c r="E40">
        <f t="shared" si="0"/>
        <v>5088.96669222372</v>
      </c>
      <c r="F40">
        <f t="shared" si="1"/>
        <v>5089</v>
      </c>
      <c r="G40">
        <f t="shared" si="4"/>
        <v>-0.09348799999861512</v>
      </c>
      <c r="K40">
        <f t="shared" si="5"/>
        <v>-0.09348799999861512</v>
      </c>
      <c r="O40">
        <f t="shared" si="2"/>
        <v>0.053054108093220864</v>
      </c>
      <c r="Q40" s="2">
        <f t="shared" si="3"/>
        <v>24767.749000000003</v>
      </c>
    </row>
    <row r="41" spans="1:17" ht="12.75">
      <c r="A41" s="54" t="s">
        <v>132</v>
      </c>
      <c r="B41" s="56" t="s">
        <v>33</v>
      </c>
      <c r="C41" s="55">
        <v>39817.289</v>
      </c>
      <c r="D41" s="55" t="s">
        <v>59</v>
      </c>
      <c r="E41">
        <f t="shared" si="0"/>
        <v>5100.025580805416</v>
      </c>
      <c r="F41">
        <f t="shared" si="1"/>
        <v>5100</v>
      </c>
      <c r="G41">
        <f t="shared" si="4"/>
        <v>0.07179999999789288</v>
      </c>
      <c r="K41">
        <f t="shared" si="5"/>
        <v>0.07179999999789288</v>
      </c>
      <c r="O41">
        <f t="shared" si="2"/>
        <v>0.05317562810986033</v>
      </c>
      <c r="Q41" s="2">
        <f t="shared" si="3"/>
        <v>24798.788999999997</v>
      </c>
    </row>
    <row r="42" spans="1:17" ht="12.75">
      <c r="A42" s="54" t="s">
        <v>132</v>
      </c>
      <c r="B42" s="56" t="s">
        <v>33</v>
      </c>
      <c r="C42" s="55">
        <v>40499.309</v>
      </c>
      <c r="D42" s="55" t="s">
        <v>59</v>
      </c>
      <c r="E42">
        <f t="shared" si="0"/>
        <v>5343.0147299835535</v>
      </c>
      <c r="F42">
        <f t="shared" si="1"/>
        <v>5343</v>
      </c>
      <c r="G42">
        <f t="shared" si="4"/>
        <v>0.04134399999747984</v>
      </c>
      <c r="K42">
        <f t="shared" si="5"/>
        <v>0.04134399999747984</v>
      </c>
      <c r="O42">
        <f t="shared" si="2"/>
        <v>0.05586011575016842</v>
      </c>
      <c r="Q42" s="2">
        <f t="shared" si="3"/>
        <v>25480.809</v>
      </c>
    </row>
    <row r="43" spans="1:17" ht="12.75">
      <c r="A43" s="54" t="s">
        <v>132</v>
      </c>
      <c r="B43" s="56" t="s">
        <v>33</v>
      </c>
      <c r="C43" s="55">
        <v>40527.259</v>
      </c>
      <c r="D43" s="55" t="s">
        <v>59</v>
      </c>
      <c r="E43">
        <f t="shared" si="0"/>
        <v>5352.972717607859</v>
      </c>
      <c r="F43">
        <f t="shared" si="1"/>
        <v>5353</v>
      </c>
      <c r="G43">
        <f t="shared" si="4"/>
        <v>-0.07657600000675302</v>
      </c>
      <c r="K43">
        <f t="shared" si="5"/>
        <v>-0.07657600000675302</v>
      </c>
      <c r="O43">
        <f t="shared" si="2"/>
        <v>0.05597058849256793</v>
      </c>
      <c r="Q43" s="2">
        <f t="shared" si="3"/>
        <v>25508.759</v>
      </c>
    </row>
    <row r="44" spans="1:17" ht="12.75">
      <c r="A44" s="54" t="s">
        <v>132</v>
      </c>
      <c r="B44" s="56" t="s">
        <v>33</v>
      </c>
      <c r="C44" s="55">
        <v>40878.251</v>
      </c>
      <c r="D44" s="55" t="s">
        <v>59</v>
      </c>
      <c r="E44">
        <f t="shared" si="0"/>
        <v>5478.0236654515165</v>
      </c>
      <c r="F44">
        <f t="shared" si="1"/>
        <v>5478</v>
      </c>
      <c r="G44">
        <f t="shared" si="4"/>
        <v>0.06642399999691406</v>
      </c>
      <c r="K44">
        <f t="shared" si="5"/>
        <v>0.06642399999691406</v>
      </c>
      <c r="O44">
        <f t="shared" si="2"/>
        <v>0.05735149777256181</v>
      </c>
      <c r="Q44" s="2">
        <f t="shared" si="3"/>
        <v>25859.750999999997</v>
      </c>
    </row>
    <row r="45" spans="1:17" ht="12.75">
      <c r="A45" s="54" t="s">
        <v>132</v>
      </c>
      <c r="B45" s="56" t="s">
        <v>33</v>
      </c>
      <c r="C45" s="55">
        <v>41209.306</v>
      </c>
      <c r="D45" s="55" t="s">
        <v>59</v>
      </c>
      <c r="E45">
        <f t="shared" si="0"/>
        <v>5595.971486308923</v>
      </c>
      <c r="F45">
        <f t="shared" si="1"/>
        <v>5596</v>
      </c>
      <c r="G45">
        <f t="shared" si="4"/>
        <v>-0.08003200000530342</v>
      </c>
      <c r="K45">
        <f t="shared" si="5"/>
        <v>-0.08003200000530342</v>
      </c>
      <c r="O45">
        <f t="shared" si="2"/>
        <v>0.05865507613287603</v>
      </c>
      <c r="Q45" s="2">
        <f t="shared" si="3"/>
        <v>26190.805999999997</v>
      </c>
    </row>
    <row r="46" spans="1:17" ht="12.75">
      <c r="A46" s="54" t="s">
        <v>152</v>
      </c>
      <c r="B46" s="56" t="s">
        <v>33</v>
      </c>
      <c r="C46" s="55">
        <v>44855.461</v>
      </c>
      <c r="D46" s="55" t="s">
        <v>59</v>
      </c>
      <c r="E46">
        <f t="shared" si="0"/>
        <v>6895.0185834931835</v>
      </c>
      <c r="F46">
        <f t="shared" si="1"/>
        <v>6895</v>
      </c>
      <c r="G46">
        <f t="shared" si="4"/>
        <v>0.0521599999992759</v>
      </c>
      <c r="K46">
        <f t="shared" si="5"/>
        <v>0.0521599999992759</v>
      </c>
      <c r="O46">
        <f t="shared" si="2"/>
        <v>0.07300548537057239</v>
      </c>
      <c r="Q46" s="2">
        <f t="shared" si="3"/>
        <v>29836.961000000003</v>
      </c>
    </row>
    <row r="47" spans="1:17" ht="12.75">
      <c r="A47" s="54" t="s">
        <v>157</v>
      </c>
      <c r="B47" s="56" t="s">
        <v>33</v>
      </c>
      <c r="C47" s="55">
        <v>45916.449</v>
      </c>
      <c r="D47" s="55" t="s">
        <v>59</v>
      </c>
      <c r="E47">
        <f t="shared" si="0"/>
        <v>7273.025931383586</v>
      </c>
      <c r="F47">
        <f t="shared" si="1"/>
        <v>7273</v>
      </c>
      <c r="G47">
        <f t="shared" si="4"/>
        <v>0.07278399999631802</v>
      </c>
      <c r="K47">
        <f t="shared" si="5"/>
        <v>0.07278399999631802</v>
      </c>
      <c r="O47">
        <f t="shared" si="2"/>
        <v>0.07718135503327386</v>
      </c>
      <c r="Q47" s="2">
        <f t="shared" si="3"/>
        <v>30897.949</v>
      </c>
    </row>
    <row r="48" spans="1:17" ht="12.75">
      <c r="A48" t="s">
        <v>34</v>
      </c>
      <c r="B48" s="12" t="s">
        <v>33</v>
      </c>
      <c r="C48" s="16">
        <v>50609.4717</v>
      </c>
      <c r="D48" s="16">
        <v>0.0028</v>
      </c>
      <c r="E48">
        <f t="shared" si="0"/>
        <v>8945.049615361593</v>
      </c>
      <c r="F48">
        <f t="shared" si="1"/>
        <v>8945</v>
      </c>
      <c r="G48">
        <f t="shared" si="4"/>
        <v>0.13926000000355998</v>
      </c>
      <c r="I48">
        <f>+G48</f>
        <v>0.13926000000355998</v>
      </c>
      <c r="O48">
        <f t="shared" si="2"/>
        <v>0.09565239756247196</v>
      </c>
      <c r="Q48" s="2">
        <f t="shared" si="3"/>
        <v>35590.9717</v>
      </c>
    </row>
    <row r="49" spans="1:17" ht="12.75">
      <c r="A49" s="9" t="s">
        <v>31</v>
      </c>
      <c r="B49" s="10"/>
      <c r="C49" s="9">
        <v>50943.475</v>
      </c>
      <c r="D49" s="9">
        <v>0.0076</v>
      </c>
      <c r="E49">
        <f t="shared" si="0"/>
        <v>9064.047852494947</v>
      </c>
      <c r="F49">
        <f t="shared" si="1"/>
        <v>9064</v>
      </c>
      <c r="G49">
        <f t="shared" si="4"/>
        <v>0.13431199999467935</v>
      </c>
      <c r="I49">
        <f>+G49</f>
        <v>0.13431199999467935</v>
      </c>
      <c r="O49">
        <f t="shared" si="2"/>
        <v>0.09696702319702612</v>
      </c>
      <c r="Q49" s="2">
        <f t="shared" si="3"/>
        <v>35924.975</v>
      </c>
    </row>
    <row r="50" spans="1:17" ht="12.75">
      <c r="A50" s="54" t="s">
        <v>171</v>
      </c>
      <c r="B50" s="56" t="s">
        <v>33</v>
      </c>
      <c r="C50" s="55">
        <v>51075.39</v>
      </c>
      <c r="D50" s="55" t="s">
        <v>59</v>
      </c>
      <c r="E50">
        <f t="shared" si="0"/>
        <v>9111.046347574027</v>
      </c>
      <c r="F50">
        <f t="shared" si="1"/>
        <v>9111</v>
      </c>
      <c r="G50">
        <f t="shared" si="4"/>
        <v>0.13008799999806797</v>
      </c>
      <c r="K50">
        <f>+G50</f>
        <v>0.13008799999806797</v>
      </c>
      <c r="O50">
        <f t="shared" si="2"/>
        <v>0.09748624508630382</v>
      </c>
      <c r="Q50" s="2">
        <f t="shared" si="3"/>
        <v>36056.89</v>
      </c>
    </row>
    <row r="51" spans="1:17" ht="12.75">
      <c r="A51" s="54" t="s">
        <v>176</v>
      </c>
      <c r="B51" s="56" t="s">
        <v>33</v>
      </c>
      <c r="C51" s="55">
        <v>51134.3174</v>
      </c>
      <c r="D51" s="55" t="s">
        <v>59</v>
      </c>
      <c r="E51">
        <f t="shared" si="0"/>
        <v>9132.04092073798</v>
      </c>
      <c r="F51">
        <f t="shared" si="1"/>
        <v>9132</v>
      </c>
      <c r="G51">
        <f t="shared" si="4"/>
        <v>0.11485600000014529</v>
      </c>
      <c r="K51">
        <f>+G51</f>
        <v>0.11485600000014529</v>
      </c>
      <c r="O51">
        <f t="shared" si="2"/>
        <v>0.0977182378453428</v>
      </c>
      <c r="Q51" s="2">
        <f t="shared" si="3"/>
        <v>36115.8174</v>
      </c>
    </row>
    <row r="52" spans="1:17" ht="12.75">
      <c r="A52" s="11" t="s">
        <v>32</v>
      </c>
      <c r="B52" s="35" t="s">
        <v>33</v>
      </c>
      <c r="C52" s="36">
        <v>51799.5457</v>
      </c>
      <c r="D52" s="36">
        <v>0.0021</v>
      </c>
      <c r="E52">
        <f t="shared" si="0"/>
        <v>9369.04754609533</v>
      </c>
      <c r="F52">
        <f t="shared" si="1"/>
        <v>9369</v>
      </c>
      <c r="G52">
        <f t="shared" si="4"/>
        <v>0.1334519999945769</v>
      </c>
      <c r="I52">
        <f>+G52</f>
        <v>0.1334519999945769</v>
      </c>
      <c r="O52">
        <f t="shared" si="2"/>
        <v>0.10033644184021118</v>
      </c>
      <c r="Q52" s="2">
        <f t="shared" si="3"/>
        <v>36781.0457</v>
      </c>
    </row>
    <row r="53" spans="1:17" ht="12.75">
      <c r="A53" s="11" t="s">
        <v>46</v>
      </c>
      <c r="B53" s="37" t="s">
        <v>33</v>
      </c>
      <c r="C53" s="11">
        <v>52119.5143</v>
      </c>
      <c r="D53" s="11" t="s">
        <v>47</v>
      </c>
      <c r="E53">
        <f t="shared" si="0"/>
        <v>9483.045519582498</v>
      </c>
      <c r="F53">
        <f t="shared" si="1"/>
        <v>9483</v>
      </c>
      <c r="G53">
        <f t="shared" si="4"/>
        <v>0.1277639999971143</v>
      </c>
      <c r="J53">
        <f>+G53</f>
        <v>0.1277639999971143</v>
      </c>
      <c r="O53">
        <f t="shared" si="2"/>
        <v>0.1015958311035656</v>
      </c>
      <c r="Q53" s="2">
        <f t="shared" si="3"/>
        <v>37101.0143</v>
      </c>
    </row>
    <row r="54" spans="1:17" ht="12.75">
      <c r="A54" s="54" t="s">
        <v>189</v>
      </c>
      <c r="B54" s="56" t="s">
        <v>33</v>
      </c>
      <c r="C54" s="55">
        <v>52133.5491</v>
      </c>
      <c r="D54" s="55" t="s">
        <v>59</v>
      </c>
      <c r="E54">
        <f t="shared" si="0"/>
        <v>9488.045818856543</v>
      </c>
      <c r="F54">
        <f t="shared" si="1"/>
        <v>9488</v>
      </c>
      <c r="G54">
        <f t="shared" si="4"/>
        <v>0.12860399999044603</v>
      </c>
      <c r="K54">
        <f>+G54</f>
        <v>0.12860399999044603</v>
      </c>
      <c r="O54">
        <f t="shared" si="2"/>
        <v>0.10165106747476535</v>
      </c>
      <c r="Q54" s="2">
        <f t="shared" si="3"/>
        <v>37115.0491</v>
      </c>
    </row>
    <row r="55" spans="1:17" ht="12.75">
      <c r="A55" s="13" t="s">
        <v>37</v>
      </c>
      <c r="B55" s="14" t="s">
        <v>33</v>
      </c>
      <c r="C55" s="15">
        <v>53343.2715</v>
      </c>
      <c r="D55" s="15">
        <v>0.0014</v>
      </c>
      <c r="E55">
        <f t="shared" si="0"/>
        <v>9919.044054564783</v>
      </c>
      <c r="F55">
        <f t="shared" si="1"/>
        <v>9919</v>
      </c>
      <c r="G55">
        <f t="shared" si="4"/>
        <v>0.12365199999476317</v>
      </c>
      <c r="I55">
        <f>+G55</f>
        <v>0.12365199999476317</v>
      </c>
      <c r="O55">
        <f t="shared" si="2"/>
        <v>0.10641244267218423</v>
      </c>
      <c r="Q55" s="2">
        <f t="shared" si="3"/>
        <v>38324.7715</v>
      </c>
    </row>
    <row r="56" spans="1:17" ht="12.75">
      <c r="A56" s="54" t="s">
        <v>70</v>
      </c>
      <c r="B56" s="56" t="s">
        <v>33</v>
      </c>
      <c r="C56" s="55">
        <v>55041.385</v>
      </c>
      <c r="D56" s="55" t="s">
        <v>59</v>
      </c>
      <c r="E56">
        <f t="shared" si="0"/>
        <v>10524.045600814025</v>
      </c>
      <c r="F56">
        <f t="shared" si="1"/>
        <v>10524</v>
      </c>
      <c r="G56">
        <f t="shared" si="4"/>
        <v>0.12799200000154087</v>
      </c>
      <c r="K56">
        <f>+G56</f>
        <v>0.12799200000154087</v>
      </c>
      <c r="O56">
        <f t="shared" si="2"/>
        <v>0.11309604358735459</v>
      </c>
      <c r="Q56" s="2">
        <f t="shared" si="3"/>
        <v>40022.885</v>
      </c>
    </row>
    <row r="57" spans="1:17" ht="12.75">
      <c r="A57" s="38" t="s">
        <v>49</v>
      </c>
      <c r="B57" s="39" t="s">
        <v>33</v>
      </c>
      <c r="C57" s="40">
        <v>56158.4894</v>
      </c>
      <c r="D57" s="40">
        <v>0.0001</v>
      </c>
      <c r="E57">
        <f t="shared" si="0"/>
        <v>10922.046022647917</v>
      </c>
      <c r="F57">
        <f t="shared" si="1"/>
        <v>10922</v>
      </c>
      <c r="G57">
        <f t="shared" si="4"/>
        <v>0.12917599999491358</v>
      </c>
      <c r="I57">
        <f>+G57</f>
        <v>0.12917599999491358</v>
      </c>
      <c r="O57">
        <f t="shared" si="2"/>
        <v>0.1174928587348551</v>
      </c>
      <c r="Q57" s="2">
        <f t="shared" si="3"/>
        <v>41139.9894</v>
      </c>
    </row>
    <row r="58" spans="2:4" ht="12.75">
      <c r="B58" s="20"/>
      <c r="C58" s="16"/>
      <c r="D58" s="16"/>
    </row>
    <row r="59" spans="2:4" ht="12.75">
      <c r="B59" s="20"/>
      <c r="C59" s="16"/>
      <c r="D59" s="16"/>
    </row>
    <row r="60" spans="2:4" ht="12.75">
      <c r="B60" s="20"/>
      <c r="C60" s="16"/>
      <c r="D60" s="16"/>
    </row>
    <row r="61" spans="2:4" ht="12.75">
      <c r="B61" s="20"/>
      <c r="C61" s="16"/>
      <c r="D61" s="16"/>
    </row>
    <row r="62" spans="2:4" ht="12.75">
      <c r="B62" s="20"/>
      <c r="C62" s="16"/>
      <c r="D62" s="16"/>
    </row>
    <row r="63" spans="2:4" ht="12.75">
      <c r="B63" s="20"/>
      <c r="C63" s="16"/>
      <c r="D63" s="16"/>
    </row>
    <row r="64" spans="2:4" ht="12.75">
      <c r="B64" s="20"/>
      <c r="C64" s="16"/>
      <c r="D64" s="16"/>
    </row>
    <row r="65" spans="2:4" ht="12.75">
      <c r="B65" s="20"/>
      <c r="C65" s="16"/>
      <c r="D65" s="16"/>
    </row>
    <row r="66" spans="2:4" ht="12.75">
      <c r="B66" s="20"/>
      <c r="C66" s="16"/>
      <c r="D66" s="16"/>
    </row>
    <row r="67" spans="2:4" ht="12.75">
      <c r="B67" s="20"/>
      <c r="C67" s="16"/>
      <c r="D67" s="16"/>
    </row>
    <row r="68" spans="2:4" ht="12.75">
      <c r="B68" s="20"/>
      <c r="C68" s="16"/>
      <c r="D68" s="16"/>
    </row>
    <row r="69" spans="2:4" ht="12.75">
      <c r="B69" s="20"/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5"/>
  <sheetViews>
    <sheetView zoomScalePageLayoutView="0" workbookViewId="0" topLeftCell="A4">
      <selection activeCell="A17" sqref="A17:D46"/>
    </sheetView>
  </sheetViews>
  <sheetFormatPr defaultColWidth="9.140625" defaultRowHeight="12.75"/>
  <cols>
    <col min="1" max="1" width="19.7109375" style="16" customWidth="1"/>
    <col min="2" max="2" width="4.421875" style="18" customWidth="1"/>
    <col min="3" max="3" width="12.7109375" style="16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6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41" t="s">
        <v>50</v>
      </c>
      <c r="I1" s="42" t="s">
        <v>51</v>
      </c>
      <c r="J1" s="43" t="s">
        <v>47</v>
      </c>
    </row>
    <row r="2" spans="9:10" ht="12.75">
      <c r="I2" s="44" t="s">
        <v>52</v>
      </c>
      <c r="J2" s="45" t="s">
        <v>53</v>
      </c>
    </row>
    <row r="3" spans="1:10" ht="12.75">
      <c r="A3" s="46" t="s">
        <v>54</v>
      </c>
      <c r="I3" s="44" t="s">
        <v>55</v>
      </c>
      <c r="J3" s="45" t="s">
        <v>56</v>
      </c>
    </row>
    <row r="4" spans="9:10" ht="12.75">
      <c r="I4" s="44" t="s">
        <v>57</v>
      </c>
      <c r="J4" s="45" t="s">
        <v>56</v>
      </c>
    </row>
    <row r="5" spans="9:10" ht="13.5" thickBot="1">
      <c r="I5" s="47" t="s">
        <v>58</v>
      </c>
      <c r="J5" s="48" t="s">
        <v>59</v>
      </c>
    </row>
    <row r="10" ht="13.5" thickBot="1"/>
    <row r="11" spans="1:16" ht="12.75" customHeight="1" thickBot="1">
      <c r="A11" s="16" t="str">
        <f aca="true" t="shared" si="0" ref="A11:A46">P11</f>
        <v>IBVS 4887 </v>
      </c>
      <c r="B11" s="20" t="str">
        <f aca="true" t="shared" si="1" ref="B11:B46">IF(H11=INT(H11),"I","II")</f>
        <v>I</v>
      </c>
      <c r="C11" s="16">
        <f aca="true" t="shared" si="2" ref="C11:C46">1*G11</f>
        <v>50609.4717</v>
      </c>
      <c r="D11" s="18" t="str">
        <f aca="true" t="shared" si="3" ref="D11:D46">VLOOKUP(F11,I$1:J$5,2,FALSE)</f>
        <v>vis</v>
      </c>
      <c r="E11" s="49">
        <f>VLOOKUP(C11,A!C$21:E$973,3,FALSE)</f>
        <v>8945.049615361593</v>
      </c>
      <c r="F11" s="20" t="s">
        <v>58</v>
      </c>
      <c r="G11" s="18" t="str">
        <f aca="true" t="shared" si="4" ref="G11:G46">MID(I11,3,LEN(I11)-3)</f>
        <v>50609.4717</v>
      </c>
      <c r="H11" s="16">
        <f aca="true" t="shared" si="5" ref="H11:H46">1*K11</f>
        <v>8945</v>
      </c>
      <c r="I11" s="50" t="s">
        <v>158</v>
      </c>
      <c r="J11" s="51" t="s">
        <v>159</v>
      </c>
      <c r="K11" s="50">
        <v>8945</v>
      </c>
      <c r="L11" s="50" t="s">
        <v>160</v>
      </c>
      <c r="M11" s="51" t="s">
        <v>63</v>
      </c>
      <c r="N11" s="51" t="s">
        <v>64</v>
      </c>
      <c r="O11" s="52" t="s">
        <v>161</v>
      </c>
      <c r="P11" s="53" t="s">
        <v>162</v>
      </c>
    </row>
    <row r="12" spans="1:16" ht="12.75" customHeight="1" thickBot="1">
      <c r="A12" s="16" t="str">
        <f t="shared" si="0"/>
        <v>IBVS 4888 </v>
      </c>
      <c r="B12" s="20" t="str">
        <f t="shared" si="1"/>
        <v>I</v>
      </c>
      <c r="C12" s="16">
        <f t="shared" si="2"/>
        <v>50943.475</v>
      </c>
      <c r="D12" s="18" t="str">
        <f t="shared" si="3"/>
        <v>vis</v>
      </c>
      <c r="E12" s="49">
        <f>VLOOKUP(C12,A!C$21:E$973,3,FALSE)</f>
        <v>9064.047852494947</v>
      </c>
      <c r="F12" s="20" t="s">
        <v>58</v>
      </c>
      <c r="G12" s="18" t="str">
        <f t="shared" si="4"/>
        <v>50943.4750</v>
      </c>
      <c r="H12" s="16">
        <f t="shared" si="5"/>
        <v>9064</v>
      </c>
      <c r="I12" s="50" t="s">
        <v>163</v>
      </c>
      <c r="J12" s="51" t="s">
        <v>164</v>
      </c>
      <c r="K12" s="50">
        <v>9064</v>
      </c>
      <c r="L12" s="50" t="s">
        <v>165</v>
      </c>
      <c r="M12" s="51" t="s">
        <v>63</v>
      </c>
      <c r="N12" s="51" t="s">
        <v>64</v>
      </c>
      <c r="O12" s="52" t="s">
        <v>166</v>
      </c>
      <c r="P12" s="53" t="s">
        <v>167</v>
      </c>
    </row>
    <row r="13" spans="1:16" ht="12.75" customHeight="1" thickBot="1">
      <c r="A13" s="16" t="str">
        <f t="shared" si="0"/>
        <v>IBVS 5287 </v>
      </c>
      <c r="B13" s="20" t="str">
        <f t="shared" si="1"/>
        <v>I</v>
      </c>
      <c r="C13" s="16">
        <f t="shared" si="2"/>
        <v>51799.5457</v>
      </c>
      <c r="D13" s="18" t="str">
        <f t="shared" si="3"/>
        <v>vis</v>
      </c>
      <c r="E13" s="49">
        <f>VLOOKUP(C13,A!C$21:E$973,3,FALSE)</f>
        <v>9369.04754609533</v>
      </c>
      <c r="F13" s="20" t="s">
        <v>58</v>
      </c>
      <c r="G13" s="18" t="str">
        <f t="shared" si="4"/>
        <v>51799.5457</v>
      </c>
      <c r="H13" s="16">
        <f t="shared" si="5"/>
        <v>9369</v>
      </c>
      <c r="I13" s="50" t="s">
        <v>177</v>
      </c>
      <c r="J13" s="51" t="s">
        <v>178</v>
      </c>
      <c r="K13" s="50">
        <v>9369</v>
      </c>
      <c r="L13" s="50" t="s">
        <v>179</v>
      </c>
      <c r="M13" s="51" t="s">
        <v>63</v>
      </c>
      <c r="N13" s="51" t="s">
        <v>64</v>
      </c>
      <c r="O13" s="52" t="s">
        <v>166</v>
      </c>
      <c r="P13" s="53" t="s">
        <v>180</v>
      </c>
    </row>
    <row r="14" spans="1:16" ht="12.75" customHeight="1" thickBot="1">
      <c r="A14" s="16" t="str">
        <f t="shared" si="0"/>
        <v>OEJV 0074 </v>
      </c>
      <c r="B14" s="20" t="str">
        <f t="shared" si="1"/>
        <v>I</v>
      </c>
      <c r="C14" s="16">
        <f t="shared" si="2"/>
        <v>52119.5143</v>
      </c>
      <c r="D14" s="18" t="str">
        <f t="shared" si="3"/>
        <v>vis</v>
      </c>
      <c r="E14" s="49">
        <f>VLOOKUP(C14,A!C$21:E$973,3,FALSE)</f>
        <v>9483.045519582498</v>
      </c>
      <c r="F14" s="20" t="s">
        <v>58</v>
      </c>
      <c r="G14" s="18" t="str">
        <f t="shared" si="4"/>
        <v>52119.51430</v>
      </c>
      <c r="H14" s="16">
        <f t="shared" si="5"/>
        <v>9483</v>
      </c>
      <c r="I14" s="50" t="s">
        <v>181</v>
      </c>
      <c r="J14" s="51" t="s">
        <v>182</v>
      </c>
      <c r="K14" s="50">
        <v>9483</v>
      </c>
      <c r="L14" s="50" t="s">
        <v>183</v>
      </c>
      <c r="M14" s="51" t="s">
        <v>67</v>
      </c>
      <c r="N14" s="51" t="s">
        <v>66</v>
      </c>
      <c r="O14" s="52" t="s">
        <v>184</v>
      </c>
      <c r="P14" s="53" t="s">
        <v>185</v>
      </c>
    </row>
    <row r="15" spans="1:16" ht="12.75" customHeight="1" thickBot="1">
      <c r="A15" s="16" t="str">
        <f t="shared" si="0"/>
        <v>IBVS 5653 </v>
      </c>
      <c r="B15" s="20" t="str">
        <f t="shared" si="1"/>
        <v>I</v>
      </c>
      <c r="C15" s="16">
        <f t="shared" si="2"/>
        <v>53343.2715</v>
      </c>
      <c r="D15" s="18" t="str">
        <f t="shared" si="3"/>
        <v>vis</v>
      </c>
      <c r="E15" s="49">
        <f>VLOOKUP(C15,A!C$21:E$973,3,FALSE)</f>
        <v>9919.044054564783</v>
      </c>
      <c r="F15" s="20" t="s">
        <v>58</v>
      </c>
      <c r="G15" s="18" t="str">
        <f t="shared" si="4"/>
        <v>53343.2715</v>
      </c>
      <c r="H15" s="16">
        <f t="shared" si="5"/>
        <v>9919</v>
      </c>
      <c r="I15" s="50" t="s">
        <v>190</v>
      </c>
      <c r="J15" s="51" t="s">
        <v>191</v>
      </c>
      <c r="K15" s="50">
        <v>9919</v>
      </c>
      <c r="L15" s="50" t="s">
        <v>192</v>
      </c>
      <c r="M15" s="51" t="s">
        <v>63</v>
      </c>
      <c r="N15" s="51" t="s">
        <v>64</v>
      </c>
      <c r="O15" s="52" t="s">
        <v>193</v>
      </c>
      <c r="P15" s="53" t="s">
        <v>194</v>
      </c>
    </row>
    <row r="16" spans="1:16" ht="12.75" customHeight="1" thickBot="1">
      <c r="A16" s="16" t="str">
        <f t="shared" si="0"/>
        <v>BAVM 231 </v>
      </c>
      <c r="B16" s="20" t="str">
        <f t="shared" si="1"/>
        <v>I</v>
      </c>
      <c r="C16" s="16">
        <f t="shared" si="2"/>
        <v>56158.4894</v>
      </c>
      <c r="D16" s="18" t="str">
        <f t="shared" si="3"/>
        <v>vis</v>
      </c>
      <c r="E16" s="49">
        <f>VLOOKUP(C16,A!C$21:E$973,3,FALSE)</f>
        <v>10922.046022647917</v>
      </c>
      <c r="F16" s="20" t="s">
        <v>58</v>
      </c>
      <c r="G16" s="18" t="str">
        <f t="shared" si="4"/>
        <v>56158.4894</v>
      </c>
      <c r="H16" s="16">
        <f t="shared" si="5"/>
        <v>10922</v>
      </c>
      <c r="I16" s="50" t="s">
        <v>198</v>
      </c>
      <c r="J16" s="51" t="s">
        <v>199</v>
      </c>
      <c r="K16" s="50" t="s">
        <v>200</v>
      </c>
      <c r="L16" s="50" t="s">
        <v>201</v>
      </c>
      <c r="M16" s="51" t="s">
        <v>67</v>
      </c>
      <c r="N16" s="51" t="s">
        <v>202</v>
      </c>
      <c r="O16" s="52" t="s">
        <v>203</v>
      </c>
      <c r="P16" s="53" t="s">
        <v>71</v>
      </c>
    </row>
    <row r="17" spans="1:16" ht="12.75" customHeight="1" thickBot="1">
      <c r="A17" s="16" t="str">
        <f t="shared" si="0"/>
        <v> AJ 36.168 </v>
      </c>
      <c r="B17" s="20" t="str">
        <f t="shared" si="1"/>
        <v>I</v>
      </c>
      <c r="C17" s="16">
        <f t="shared" si="2"/>
        <v>24413</v>
      </c>
      <c r="D17" s="18" t="str">
        <f t="shared" si="3"/>
        <v>vis</v>
      </c>
      <c r="E17" s="49">
        <f>VLOOKUP(C17,A!C$21:E$973,3,FALSE)</f>
        <v>-388.19335383598116</v>
      </c>
      <c r="F17" s="20" t="s">
        <v>58</v>
      </c>
      <c r="G17" s="18" t="str">
        <f t="shared" si="4"/>
        <v>24413.0</v>
      </c>
      <c r="H17" s="16">
        <f t="shared" si="5"/>
        <v>-388</v>
      </c>
      <c r="I17" s="50" t="s">
        <v>72</v>
      </c>
      <c r="J17" s="51" t="s">
        <v>73</v>
      </c>
      <c r="K17" s="50">
        <v>-388</v>
      </c>
      <c r="L17" s="50" t="s">
        <v>74</v>
      </c>
      <c r="M17" s="51" t="s">
        <v>61</v>
      </c>
      <c r="N17" s="51"/>
      <c r="O17" s="52" t="s">
        <v>75</v>
      </c>
      <c r="P17" s="52" t="s">
        <v>76</v>
      </c>
    </row>
    <row r="18" spans="1:16" ht="12.75" customHeight="1" thickBot="1">
      <c r="A18" s="16" t="str">
        <f t="shared" si="0"/>
        <v> AN 279.93 </v>
      </c>
      <c r="B18" s="20" t="str">
        <f t="shared" si="1"/>
        <v>I</v>
      </c>
      <c r="C18" s="16">
        <f t="shared" si="2"/>
        <v>25502.506</v>
      </c>
      <c r="D18" s="18" t="str">
        <f t="shared" si="3"/>
        <v>vis</v>
      </c>
      <c r="E18" s="49">
        <f>VLOOKUP(C18,A!C$21:E$973,3,FALSE)</f>
        <v>-0.025652061143154326</v>
      </c>
      <c r="F18" s="20" t="s">
        <v>58</v>
      </c>
      <c r="G18" s="18" t="str">
        <f t="shared" si="4"/>
        <v>25502.506</v>
      </c>
      <c r="H18" s="16">
        <f t="shared" si="5"/>
        <v>0</v>
      </c>
      <c r="I18" s="50" t="s">
        <v>77</v>
      </c>
      <c r="J18" s="51" t="s">
        <v>78</v>
      </c>
      <c r="K18" s="50">
        <v>0</v>
      </c>
      <c r="L18" s="50" t="s">
        <v>79</v>
      </c>
      <c r="M18" s="51" t="s">
        <v>61</v>
      </c>
      <c r="N18" s="51"/>
      <c r="O18" s="52" t="s">
        <v>80</v>
      </c>
      <c r="P18" s="52" t="s">
        <v>81</v>
      </c>
    </row>
    <row r="19" spans="1:16" ht="12.75" customHeight="1" thickBot="1">
      <c r="A19" s="16" t="str">
        <f t="shared" si="0"/>
        <v> AN 279.93 </v>
      </c>
      <c r="B19" s="20" t="str">
        <f t="shared" si="1"/>
        <v>I</v>
      </c>
      <c r="C19" s="16">
        <f t="shared" si="2"/>
        <v>25623.35</v>
      </c>
      <c r="D19" s="18" t="str">
        <f t="shared" si="3"/>
        <v>vis</v>
      </c>
      <c r="E19" s="49">
        <f>VLOOKUP(C19,A!C$21:E$973,3,FALSE)</f>
        <v>43.0284823385549</v>
      </c>
      <c r="F19" s="20" t="s">
        <v>58</v>
      </c>
      <c r="G19" s="18" t="str">
        <f t="shared" si="4"/>
        <v>25623.350</v>
      </c>
      <c r="H19" s="16">
        <f t="shared" si="5"/>
        <v>43</v>
      </c>
      <c r="I19" s="50" t="s">
        <v>82</v>
      </c>
      <c r="J19" s="51" t="s">
        <v>83</v>
      </c>
      <c r="K19" s="50">
        <v>43</v>
      </c>
      <c r="L19" s="50" t="s">
        <v>84</v>
      </c>
      <c r="M19" s="51" t="s">
        <v>61</v>
      </c>
      <c r="N19" s="51"/>
      <c r="O19" s="52" t="s">
        <v>80</v>
      </c>
      <c r="P19" s="52" t="s">
        <v>81</v>
      </c>
    </row>
    <row r="20" spans="1:16" ht="12.75" customHeight="1" thickBot="1">
      <c r="A20" s="16" t="str">
        <f t="shared" si="0"/>
        <v> AN 279.93 </v>
      </c>
      <c r="B20" s="20" t="str">
        <f t="shared" si="1"/>
        <v>I</v>
      </c>
      <c r="C20" s="16">
        <f t="shared" si="2"/>
        <v>25651.29</v>
      </c>
      <c r="D20" s="18" t="str">
        <f t="shared" si="3"/>
        <v>vis</v>
      </c>
      <c r="E20" s="49">
        <f>VLOOKUP(C20,A!C$21:E$973,3,FALSE)</f>
        <v>52.98290717659147</v>
      </c>
      <c r="F20" s="20" t="s">
        <v>58</v>
      </c>
      <c r="G20" s="18" t="str">
        <f t="shared" si="4"/>
        <v>25651.290</v>
      </c>
      <c r="H20" s="16">
        <f t="shared" si="5"/>
        <v>53</v>
      </c>
      <c r="I20" s="50" t="s">
        <v>85</v>
      </c>
      <c r="J20" s="51" t="s">
        <v>86</v>
      </c>
      <c r="K20" s="50">
        <v>53</v>
      </c>
      <c r="L20" s="50" t="s">
        <v>87</v>
      </c>
      <c r="M20" s="51" t="s">
        <v>61</v>
      </c>
      <c r="N20" s="51"/>
      <c r="O20" s="52" t="s">
        <v>80</v>
      </c>
      <c r="P20" s="52" t="s">
        <v>81</v>
      </c>
    </row>
    <row r="21" spans="1:16" ht="12.75" customHeight="1" thickBot="1">
      <c r="A21" s="16" t="str">
        <f t="shared" si="0"/>
        <v> AN 279.93 </v>
      </c>
      <c r="B21" s="20" t="str">
        <f t="shared" si="1"/>
        <v>I</v>
      </c>
      <c r="C21" s="16">
        <f t="shared" si="2"/>
        <v>26215.456</v>
      </c>
      <c r="D21" s="18" t="str">
        <f t="shared" si="3"/>
        <v>vis</v>
      </c>
      <c r="E21" s="49">
        <f>VLOOKUP(C21,A!C$21:E$973,3,FALSE)</f>
        <v>253.98319504972116</v>
      </c>
      <c r="F21" s="20" t="s">
        <v>58</v>
      </c>
      <c r="G21" s="18" t="str">
        <f t="shared" si="4"/>
        <v>26215.456</v>
      </c>
      <c r="H21" s="16">
        <f t="shared" si="5"/>
        <v>254</v>
      </c>
      <c r="I21" s="50" t="s">
        <v>88</v>
      </c>
      <c r="J21" s="51" t="s">
        <v>89</v>
      </c>
      <c r="K21" s="50">
        <v>254</v>
      </c>
      <c r="L21" s="50" t="s">
        <v>90</v>
      </c>
      <c r="M21" s="51" t="s">
        <v>61</v>
      </c>
      <c r="N21" s="51"/>
      <c r="O21" s="52" t="s">
        <v>80</v>
      </c>
      <c r="P21" s="52" t="s">
        <v>81</v>
      </c>
    </row>
    <row r="22" spans="1:16" ht="12.75" customHeight="1" thickBot="1">
      <c r="A22" s="16" t="str">
        <f t="shared" si="0"/>
        <v> AN 279.93 </v>
      </c>
      <c r="B22" s="20" t="str">
        <f t="shared" si="1"/>
        <v>I</v>
      </c>
      <c r="C22" s="16">
        <f t="shared" si="2"/>
        <v>26350.222</v>
      </c>
      <c r="D22" s="18" t="str">
        <f t="shared" si="3"/>
        <v>vis</v>
      </c>
      <c r="E22" s="49">
        <f>VLOOKUP(C22,A!C$21:E$973,3,FALSE)</f>
        <v>301.9974404943438</v>
      </c>
      <c r="F22" s="20" t="s">
        <v>58</v>
      </c>
      <c r="G22" s="18" t="str">
        <f t="shared" si="4"/>
        <v>26350.222</v>
      </c>
      <c r="H22" s="16">
        <f t="shared" si="5"/>
        <v>302</v>
      </c>
      <c r="I22" s="50" t="s">
        <v>91</v>
      </c>
      <c r="J22" s="51" t="s">
        <v>92</v>
      </c>
      <c r="K22" s="50">
        <v>302</v>
      </c>
      <c r="L22" s="50" t="s">
        <v>93</v>
      </c>
      <c r="M22" s="51" t="s">
        <v>61</v>
      </c>
      <c r="N22" s="51"/>
      <c r="O22" s="52" t="s">
        <v>80</v>
      </c>
      <c r="P22" s="52" t="s">
        <v>81</v>
      </c>
    </row>
    <row r="23" spans="1:16" ht="12.75" customHeight="1" thickBot="1">
      <c r="A23" s="16" t="str">
        <f t="shared" si="0"/>
        <v> AN 279.93 </v>
      </c>
      <c r="B23" s="20" t="str">
        <f t="shared" si="1"/>
        <v>I</v>
      </c>
      <c r="C23" s="16">
        <f t="shared" si="2"/>
        <v>26611.341</v>
      </c>
      <c r="D23" s="18" t="str">
        <f t="shared" si="3"/>
        <v>vis</v>
      </c>
      <c r="E23" s="49">
        <f>VLOOKUP(C23,A!C$21:E$973,3,FALSE)</f>
        <v>395.02855929473895</v>
      </c>
      <c r="F23" s="20" t="s">
        <v>58</v>
      </c>
      <c r="G23" s="18" t="str">
        <f t="shared" si="4"/>
        <v>26611.341</v>
      </c>
      <c r="H23" s="16">
        <f t="shared" si="5"/>
        <v>395</v>
      </c>
      <c r="I23" s="50" t="s">
        <v>94</v>
      </c>
      <c r="J23" s="51" t="s">
        <v>95</v>
      </c>
      <c r="K23" s="50">
        <v>395</v>
      </c>
      <c r="L23" s="50" t="s">
        <v>84</v>
      </c>
      <c r="M23" s="51" t="s">
        <v>61</v>
      </c>
      <c r="N23" s="51"/>
      <c r="O23" s="52" t="s">
        <v>80</v>
      </c>
      <c r="P23" s="52" t="s">
        <v>81</v>
      </c>
    </row>
    <row r="24" spans="1:16" ht="12.75" customHeight="1" thickBot="1">
      <c r="A24" s="16" t="str">
        <f t="shared" si="0"/>
        <v> AN 279.93 </v>
      </c>
      <c r="B24" s="20" t="str">
        <f t="shared" si="1"/>
        <v>I</v>
      </c>
      <c r="C24" s="16">
        <f t="shared" si="2"/>
        <v>26622.505</v>
      </c>
      <c r="D24" s="18" t="str">
        <f t="shared" si="3"/>
        <v>vis</v>
      </c>
      <c r="E24" s="49">
        <f>VLOOKUP(C24,A!C$21:E$973,3,FALSE)</f>
        <v>399.00605388642964</v>
      </c>
      <c r="F24" s="20" t="s">
        <v>58</v>
      </c>
      <c r="G24" s="18" t="str">
        <f t="shared" si="4"/>
        <v>26622.505</v>
      </c>
      <c r="H24" s="16">
        <f t="shared" si="5"/>
        <v>399</v>
      </c>
      <c r="I24" s="50" t="s">
        <v>96</v>
      </c>
      <c r="J24" s="51" t="s">
        <v>97</v>
      </c>
      <c r="K24" s="50">
        <v>399</v>
      </c>
      <c r="L24" s="50" t="s">
        <v>98</v>
      </c>
      <c r="M24" s="51" t="s">
        <v>61</v>
      </c>
      <c r="N24" s="51"/>
      <c r="O24" s="52" t="s">
        <v>80</v>
      </c>
      <c r="P24" s="52" t="s">
        <v>81</v>
      </c>
    </row>
    <row r="25" spans="1:16" ht="12.75" customHeight="1" thickBot="1">
      <c r="A25" s="16" t="str">
        <f t="shared" si="0"/>
        <v> AN 279.93 </v>
      </c>
      <c r="B25" s="20" t="str">
        <f t="shared" si="1"/>
        <v>I</v>
      </c>
      <c r="C25" s="16">
        <f t="shared" si="2"/>
        <v>26928.467</v>
      </c>
      <c r="D25" s="18" t="str">
        <f t="shared" si="3"/>
        <v>vis</v>
      </c>
      <c r="E25" s="49">
        <f>VLOOKUP(C25,A!C$21:E$973,3,FALSE)</f>
        <v>508.01377515683356</v>
      </c>
      <c r="F25" s="20" t="s">
        <v>58</v>
      </c>
      <c r="G25" s="18" t="str">
        <f t="shared" si="4"/>
        <v>26928.467</v>
      </c>
      <c r="H25" s="16">
        <f t="shared" si="5"/>
        <v>508</v>
      </c>
      <c r="I25" s="50" t="s">
        <v>99</v>
      </c>
      <c r="J25" s="51" t="s">
        <v>100</v>
      </c>
      <c r="K25" s="50">
        <v>508</v>
      </c>
      <c r="L25" s="50" t="s">
        <v>101</v>
      </c>
      <c r="M25" s="51" t="s">
        <v>61</v>
      </c>
      <c r="N25" s="51"/>
      <c r="O25" s="52" t="s">
        <v>80</v>
      </c>
      <c r="P25" s="52" t="s">
        <v>81</v>
      </c>
    </row>
    <row r="26" spans="1:16" ht="12.75" customHeight="1" thickBot="1">
      <c r="A26" s="16" t="str">
        <f t="shared" si="0"/>
        <v> AN 279.93 </v>
      </c>
      <c r="B26" s="20" t="str">
        <f t="shared" si="1"/>
        <v>I</v>
      </c>
      <c r="C26" s="16">
        <f t="shared" si="2"/>
        <v>26973.357</v>
      </c>
      <c r="D26" s="18" t="str">
        <f t="shared" si="3"/>
        <v>vis</v>
      </c>
      <c r="E26" s="49">
        <f>VLOOKUP(C26,A!C$21:E$973,3,FALSE)</f>
        <v>524.0071227223102</v>
      </c>
      <c r="F26" s="20" t="s">
        <v>58</v>
      </c>
      <c r="G26" s="18" t="str">
        <f t="shared" si="4"/>
        <v>26973.357</v>
      </c>
      <c r="H26" s="16">
        <f t="shared" si="5"/>
        <v>524</v>
      </c>
      <c r="I26" s="50" t="s">
        <v>102</v>
      </c>
      <c r="J26" s="51" t="s">
        <v>103</v>
      </c>
      <c r="K26" s="50">
        <v>524</v>
      </c>
      <c r="L26" s="50" t="s">
        <v>62</v>
      </c>
      <c r="M26" s="51" t="s">
        <v>61</v>
      </c>
      <c r="N26" s="51"/>
      <c r="O26" s="52" t="s">
        <v>80</v>
      </c>
      <c r="P26" s="52" t="s">
        <v>81</v>
      </c>
    </row>
    <row r="27" spans="1:16" ht="12.75" customHeight="1" thickBot="1">
      <c r="A27" s="16" t="str">
        <f t="shared" si="0"/>
        <v> AN 279.93 </v>
      </c>
      <c r="B27" s="20" t="str">
        <f t="shared" si="1"/>
        <v>I</v>
      </c>
      <c r="C27" s="16">
        <f t="shared" si="2"/>
        <v>27655.468</v>
      </c>
      <c r="D27" s="18" t="str">
        <f t="shared" si="3"/>
        <v>vis</v>
      </c>
      <c r="E27" s="49">
        <f>VLOOKUP(C27,A!C$21:E$973,3,FALSE)</f>
        <v>767.0286932555028</v>
      </c>
      <c r="F27" s="20" t="s">
        <v>58</v>
      </c>
      <c r="G27" s="18" t="str">
        <f t="shared" si="4"/>
        <v>27655.468</v>
      </c>
      <c r="H27" s="16">
        <f t="shared" si="5"/>
        <v>767</v>
      </c>
      <c r="I27" s="50" t="s">
        <v>104</v>
      </c>
      <c r="J27" s="51" t="s">
        <v>105</v>
      </c>
      <c r="K27" s="50">
        <v>767</v>
      </c>
      <c r="L27" s="50" t="s">
        <v>106</v>
      </c>
      <c r="M27" s="51" t="s">
        <v>61</v>
      </c>
      <c r="N27" s="51"/>
      <c r="O27" s="52" t="s">
        <v>80</v>
      </c>
      <c r="P27" s="52" t="s">
        <v>81</v>
      </c>
    </row>
    <row r="28" spans="1:16" ht="12.75" customHeight="1" thickBot="1">
      <c r="A28" s="16" t="str">
        <f t="shared" si="0"/>
        <v> AN 279.93 </v>
      </c>
      <c r="B28" s="20" t="str">
        <f t="shared" si="1"/>
        <v>I</v>
      </c>
      <c r="C28" s="16">
        <f t="shared" si="2"/>
        <v>27683.484</v>
      </c>
      <c r="D28" s="18" t="str">
        <f t="shared" si="3"/>
        <v>vis</v>
      </c>
      <c r="E28" s="49">
        <f>VLOOKUP(C28,A!C$21:E$973,3,FALSE)</f>
        <v>777.0101952691895</v>
      </c>
      <c r="F28" s="20" t="s">
        <v>58</v>
      </c>
      <c r="G28" s="18" t="str">
        <f t="shared" si="4"/>
        <v>27683.484</v>
      </c>
      <c r="H28" s="16">
        <f t="shared" si="5"/>
        <v>777</v>
      </c>
      <c r="I28" s="50" t="s">
        <v>107</v>
      </c>
      <c r="J28" s="51" t="s">
        <v>108</v>
      </c>
      <c r="K28" s="50">
        <v>777</v>
      </c>
      <c r="L28" s="50" t="s">
        <v>109</v>
      </c>
      <c r="M28" s="51" t="s">
        <v>61</v>
      </c>
      <c r="N28" s="51"/>
      <c r="O28" s="52" t="s">
        <v>80</v>
      </c>
      <c r="P28" s="52" t="s">
        <v>81</v>
      </c>
    </row>
    <row r="29" spans="1:16" ht="12.75" customHeight="1" thickBot="1">
      <c r="A29" s="16" t="str">
        <f t="shared" si="0"/>
        <v> AN 279.93 </v>
      </c>
      <c r="B29" s="20" t="str">
        <f t="shared" si="1"/>
        <v>I</v>
      </c>
      <c r="C29" s="16">
        <f t="shared" si="2"/>
        <v>28424.488</v>
      </c>
      <c r="D29" s="18" t="str">
        <f t="shared" si="3"/>
        <v>vis</v>
      </c>
      <c r="E29" s="49">
        <f>VLOOKUP(C29,A!C$21:E$973,3,FALSE)</f>
        <v>1041.0140829815675</v>
      </c>
      <c r="F29" s="20" t="s">
        <v>58</v>
      </c>
      <c r="G29" s="18" t="str">
        <f t="shared" si="4"/>
        <v>28424.488</v>
      </c>
      <c r="H29" s="16">
        <f t="shared" si="5"/>
        <v>1041</v>
      </c>
      <c r="I29" s="50" t="s">
        <v>110</v>
      </c>
      <c r="J29" s="51" t="s">
        <v>111</v>
      </c>
      <c r="K29" s="50">
        <v>1041</v>
      </c>
      <c r="L29" s="50" t="s">
        <v>112</v>
      </c>
      <c r="M29" s="51" t="s">
        <v>61</v>
      </c>
      <c r="N29" s="51"/>
      <c r="O29" s="52" t="s">
        <v>80</v>
      </c>
      <c r="P29" s="52" t="s">
        <v>81</v>
      </c>
    </row>
    <row r="30" spans="1:16" ht="12.75" customHeight="1" thickBot="1">
      <c r="A30" s="16" t="str">
        <f t="shared" si="0"/>
        <v> AN 279.93 </v>
      </c>
      <c r="B30" s="20" t="str">
        <f t="shared" si="1"/>
        <v>I</v>
      </c>
      <c r="C30" s="16">
        <f t="shared" si="2"/>
        <v>28834.372</v>
      </c>
      <c r="D30" s="18" t="str">
        <f t="shared" si="3"/>
        <v>vis</v>
      </c>
      <c r="E30" s="49">
        <f>VLOOKUP(C30,A!C$21:E$973,3,FALSE)</f>
        <v>1187.0469917257844</v>
      </c>
      <c r="F30" s="20" t="s">
        <v>58</v>
      </c>
      <c r="G30" s="18" t="str">
        <f t="shared" si="4"/>
        <v>28834.372</v>
      </c>
      <c r="H30" s="16">
        <f t="shared" si="5"/>
        <v>1187</v>
      </c>
      <c r="I30" s="50" t="s">
        <v>113</v>
      </c>
      <c r="J30" s="51" t="s">
        <v>114</v>
      </c>
      <c r="K30" s="50">
        <v>1187</v>
      </c>
      <c r="L30" s="50" t="s">
        <v>115</v>
      </c>
      <c r="M30" s="51" t="s">
        <v>61</v>
      </c>
      <c r="N30" s="51"/>
      <c r="O30" s="52" t="s">
        <v>80</v>
      </c>
      <c r="P30" s="52" t="s">
        <v>81</v>
      </c>
    </row>
    <row r="31" spans="1:16" ht="12.75" customHeight="1" thickBot="1">
      <c r="A31" s="16" t="str">
        <f t="shared" si="0"/>
        <v> AN 279.93 </v>
      </c>
      <c r="B31" s="20" t="str">
        <f t="shared" si="1"/>
        <v>I</v>
      </c>
      <c r="C31" s="16">
        <f t="shared" si="2"/>
        <v>29196.341</v>
      </c>
      <c r="D31" s="18" t="str">
        <f t="shared" si="3"/>
        <v>vis</v>
      </c>
      <c r="E31" s="49">
        <f>VLOOKUP(C31,A!C$21:E$973,3,FALSE)</f>
        <v>1316.0088100578878</v>
      </c>
      <c r="F31" s="20" t="s">
        <v>58</v>
      </c>
      <c r="G31" s="18" t="str">
        <f t="shared" si="4"/>
        <v>29196.341</v>
      </c>
      <c r="H31" s="16">
        <f t="shared" si="5"/>
        <v>1316</v>
      </c>
      <c r="I31" s="50" t="s">
        <v>116</v>
      </c>
      <c r="J31" s="51" t="s">
        <v>117</v>
      </c>
      <c r="K31" s="50">
        <v>1316</v>
      </c>
      <c r="L31" s="50" t="s">
        <v>118</v>
      </c>
      <c r="M31" s="51" t="s">
        <v>61</v>
      </c>
      <c r="N31" s="51"/>
      <c r="O31" s="52" t="s">
        <v>80</v>
      </c>
      <c r="P31" s="52" t="s">
        <v>81</v>
      </c>
    </row>
    <row r="32" spans="1:16" ht="12.75" customHeight="1" thickBot="1">
      <c r="A32" s="16" t="str">
        <f t="shared" si="0"/>
        <v> AN 279.93 </v>
      </c>
      <c r="B32" s="20" t="str">
        <f t="shared" si="1"/>
        <v>I</v>
      </c>
      <c r="C32" s="16">
        <f t="shared" si="2"/>
        <v>33190.34</v>
      </c>
      <c r="D32" s="18" t="str">
        <f t="shared" si="3"/>
        <v>vis</v>
      </c>
      <c r="E32" s="49">
        <f>VLOOKUP(C32,A!C$21:E$973,3,FALSE)</f>
        <v>2738.9852899680473</v>
      </c>
      <c r="F32" s="20" t="s">
        <v>58</v>
      </c>
      <c r="G32" s="18" t="str">
        <f t="shared" si="4"/>
        <v>33190.340</v>
      </c>
      <c r="H32" s="16">
        <f t="shared" si="5"/>
        <v>2739</v>
      </c>
      <c r="I32" s="50" t="s">
        <v>119</v>
      </c>
      <c r="J32" s="51" t="s">
        <v>120</v>
      </c>
      <c r="K32" s="50">
        <v>2739</v>
      </c>
      <c r="L32" s="50" t="s">
        <v>121</v>
      </c>
      <c r="M32" s="51" t="s">
        <v>61</v>
      </c>
      <c r="N32" s="51"/>
      <c r="O32" s="52" t="s">
        <v>80</v>
      </c>
      <c r="P32" s="52" t="s">
        <v>81</v>
      </c>
    </row>
    <row r="33" spans="1:16" ht="12.75" customHeight="1" thickBot="1">
      <c r="A33" s="16" t="str">
        <f t="shared" si="0"/>
        <v> AN 279.93 </v>
      </c>
      <c r="B33" s="20" t="str">
        <f t="shared" si="1"/>
        <v>I</v>
      </c>
      <c r="C33" s="16">
        <f t="shared" si="2"/>
        <v>33201.6</v>
      </c>
      <c r="D33" s="18" t="str">
        <f t="shared" si="3"/>
        <v>vis</v>
      </c>
      <c r="E33" s="49">
        <f>VLOOKUP(C33,A!C$21:E$973,3,FALSE)</f>
        <v>2742.996987307929</v>
      </c>
      <c r="F33" s="20" t="s">
        <v>58</v>
      </c>
      <c r="G33" s="18" t="str">
        <f t="shared" si="4"/>
        <v>33201.60</v>
      </c>
      <c r="H33" s="16">
        <f t="shared" si="5"/>
        <v>2743</v>
      </c>
      <c r="I33" s="50" t="s">
        <v>122</v>
      </c>
      <c r="J33" s="51" t="s">
        <v>123</v>
      </c>
      <c r="K33" s="50">
        <v>2743</v>
      </c>
      <c r="L33" s="50" t="s">
        <v>124</v>
      </c>
      <c r="M33" s="51" t="s">
        <v>61</v>
      </c>
      <c r="N33" s="51"/>
      <c r="O33" s="52" t="s">
        <v>80</v>
      </c>
      <c r="P33" s="52" t="s">
        <v>81</v>
      </c>
    </row>
    <row r="34" spans="1:16" ht="12.75" customHeight="1" thickBot="1">
      <c r="A34" s="16" t="str">
        <f t="shared" si="0"/>
        <v> AN 279.93 </v>
      </c>
      <c r="B34" s="20" t="str">
        <f t="shared" si="1"/>
        <v>I</v>
      </c>
      <c r="C34" s="16">
        <f t="shared" si="2"/>
        <v>33204.388</v>
      </c>
      <c r="D34" s="18" t="str">
        <f t="shared" si="3"/>
        <v>vis</v>
      </c>
      <c r="E34" s="49">
        <f>VLOOKUP(C34,A!C$21:E$973,3,FALSE)</f>
        <v>2743.990292119971</v>
      </c>
      <c r="F34" s="20" t="s">
        <v>58</v>
      </c>
      <c r="G34" s="18" t="str">
        <f t="shared" si="4"/>
        <v>33204.388</v>
      </c>
      <c r="H34" s="16">
        <f t="shared" si="5"/>
        <v>2744</v>
      </c>
      <c r="I34" s="50" t="s">
        <v>125</v>
      </c>
      <c r="J34" s="51" t="s">
        <v>126</v>
      </c>
      <c r="K34" s="50">
        <v>2744</v>
      </c>
      <c r="L34" s="50" t="s">
        <v>60</v>
      </c>
      <c r="M34" s="51" t="s">
        <v>127</v>
      </c>
      <c r="N34" s="51"/>
      <c r="O34" s="52" t="s">
        <v>80</v>
      </c>
      <c r="P34" s="52" t="s">
        <v>81</v>
      </c>
    </row>
    <row r="35" spans="1:16" ht="12.75" customHeight="1" thickBot="1">
      <c r="A35" s="16" t="str">
        <f t="shared" si="0"/>
        <v> MSAI 43.327 </v>
      </c>
      <c r="B35" s="20" t="str">
        <f t="shared" si="1"/>
        <v>I</v>
      </c>
      <c r="C35" s="16">
        <f t="shared" si="2"/>
        <v>39786.249</v>
      </c>
      <c r="D35" s="18" t="str">
        <f t="shared" si="3"/>
        <v>vis</v>
      </c>
      <c r="E35" s="49">
        <f>VLOOKUP(C35,A!C$21:E$973,3,FALSE)</f>
        <v>5088.96669222372</v>
      </c>
      <c r="F35" s="20" t="s">
        <v>58</v>
      </c>
      <c r="G35" s="18" t="str">
        <f t="shared" si="4"/>
        <v>39786.249</v>
      </c>
      <c r="H35" s="16">
        <f t="shared" si="5"/>
        <v>5089</v>
      </c>
      <c r="I35" s="50" t="s">
        <v>128</v>
      </c>
      <c r="J35" s="51" t="s">
        <v>129</v>
      </c>
      <c r="K35" s="50">
        <v>5089</v>
      </c>
      <c r="L35" s="50" t="s">
        <v>130</v>
      </c>
      <c r="M35" s="51" t="s">
        <v>61</v>
      </c>
      <c r="N35" s="51"/>
      <c r="O35" s="52" t="s">
        <v>131</v>
      </c>
      <c r="P35" s="52" t="s">
        <v>132</v>
      </c>
    </row>
    <row r="36" spans="1:16" ht="12.75" customHeight="1" thickBot="1">
      <c r="A36" s="16" t="str">
        <f t="shared" si="0"/>
        <v> MSAI 43.327 </v>
      </c>
      <c r="B36" s="20" t="str">
        <f t="shared" si="1"/>
        <v>I</v>
      </c>
      <c r="C36" s="16">
        <f t="shared" si="2"/>
        <v>39817.289</v>
      </c>
      <c r="D36" s="18" t="str">
        <f t="shared" si="3"/>
        <v>vis</v>
      </c>
      <c r="E36" s="49">
        <f>VLOOKUP(C36,A!C$21:E$973,3,FALSE)</f>
        <v>5100.025580805416</v>
      </c>
      <c r="F36" s="20" t="s">
        <v>58</v>
      </c>
      <c r="G36" s="18" t="str">
        <f t="shared" si="4"/>
        <v>39817.289</v>
      </c>
      <c r="H36" s="16">
        <f t="shared" si="5"/>
        <v>5100</v>
      </c>
      <c r="I36" s="50" t="s">
        <v>133</v>
      </c>
      <c r="J36" s="51" t="s">
        <v>134</v>
      </c>
      <c r="K36" s="50">
        <v>5100</v>
      </c>
      <c r="L36" s="50" t="s">
        <v>135</v>
      </c>
      <c r="M36" s="51" t="s">
        <v>61</v>
      </c>
      <c r="N36" s="51"/>
      <c r="O36" s="52" t="s">
        <v>131</v>
      </c>
      <c r="P36" s="52" t="s">
        <v>132</v>
      </c>
    </row>
    <row r="37" spans="1:16" ht="12.75" customHeight="1" thickBot="1">
      <c r="A37" s="16" t="str">
        <f t="shared" si="0"/>
        <v> MSAI 43.327 </v>
      </c>
      <c r="B37" s="20" t="str">
        <f t="shared" si="1"/>
        <v>I</v>
      </c>
      <c r="C37" s="16">
        <f t="shared" si="2"/>
        <v>40499.309</v>
      </c>
      <c r="D37" s="18" t="str">
        <f t="shared" si="3"/>
        <v>vis</v>
      </c>
      <c r="E37" s="49">
        <f>VLOOKUP(C37,A!C$21:E$973,3,FALSE)</f>
        <v>5343.0147299835535</v>
      </c>
      <c r="F37" s="20" t="s">
        <v>58</v>
      </c>
      <c r="G37" s="18" t="str">
        <f t="shared" si="4"/>
        <v>40499.309</v>
      </c>
      <c r="H37" s="16">
        <f t="shared" si="5"/>
        <v>5343</v>
      </c>
      <c r="I37" s="50" t="s">
        <v>136</v>
      </c>
      <c r="J37" s="51" t="s">
        <v>137</v>
      </c>
      <c r="K37" s="50">
        <v>5343</v>
      </c>
      <c r="L37" s="50" t="s">
        <v>138</v>
      </c>
      <c r="M37" s="51" t="s">
        <v>61</v>
      </c>
      <c r="N37" s="51"/>
      <c r="O37" s="52" t="s">
        <v>131</v>
      </c>
      <c r="P37" s="52" t="s">
        <v>132</v>
      </c>
    </row>
    <row r="38" spans="1:16" ht="12.75" customHeight="1" thickBot="1">
      <c r="A38" s="16" t="str">
        <f t="shared" si="0"/>
        <v> MSAI 43.327 </v>
      </c>
      <c r="B38" s="20" t="str">
        <f t="shared" si="1"/>
        <v>I</v>
      </c>
      <c r="C38" s="16">
        <f t="shared" si="2"/>
        <v>40527.259</v>
      </c>
      <c r="D38" s="18" t="str">
        <f t="shared" si="3"/>
        <v>vis</v>
      </c>
      <c r="E38" s="49">
        <f>VLOOKUP(C38,A!C$21:E$973,3,FALSE)</f>
        <v>5352.972717607859</v>
      </c>
      <c r="F38" s="20" t="s">
        <v>58</v>
      </c>
      <c r="G38" s="18" t="str">
        <f t="shared" si="4"/>
        <v>40527.259</v>
      </c>
      <c r="H38" s="16">
        <f t="shared" si="5"/>
        <v>5353</v>
      </c>
      <c r="I38" s="50" t="s">
        <v>139</v>
      </c>
      <c r="J38" s="51" t="s">
        <v>140</v>
      </c>
      <c r="K38" s="50">
        <v>5353</v>
      </c>
      <c r="L38" s="50" t="s">
        <v>141</v>
      </c>
      <c r="M38" s="51" t="s">
        <v>61</v>
      </c>
      <c r="N38" s="51"/>
      <c r="O38" s="52" t="s">
        <v>131</v>
      </c>
      <c r="P38" s="52" t="s">
        <v>132</v>
      </c>
    </row>
    <row r="39" spans="1:16" ht="12.75" customHeight="1" thickBot="1">
      <c r="A39" s="16" t="str">
        <f t="shared" si="0"/>
        <v> MSAI 43.327 </v>
      </c>
      <c r="B39" s="20" t="str">
        <f t="shared" si="1"/>
        <v>I</v>
      </c>
      <c r="C39" s="16">
        <f t="shared" si="2"/>
        <v>40878.251</v>
      </c>
      <c r="D39" s="18" t="str">
        <f t="shared" si="3"/>
        <v>vis</v>
      </c>
      <c r="E39" s="49">
        <f>VLOOKUP(C39,A!C$21:E$973,3,FALSE)</f>
        <v>5478.0236654515165</v>
      </c>
      <c r="F39" s="20" t="s">
        <v>58</v>
      </c>
      <c r="G39" s="18" t="str">
        <f t="shared" si="4"/>
        <v>40878.251</v>
      </c>
      <c r="H39" s="16">
        <f t="shared" si="5"/>
        <v>5478</v>
      </c>
      <c r="I39" s="50" t="s">
        <v>142</v>
      </c>
      <c r="J39" s="51" t="s">
        <v>143</v>
      </c>
      <c r="K39" s="50">
        <v>5478</v>
      </c>
      <c r="L39" s="50" t="s">
        <v>144</v>
      </c>
      <c r="M39" s="51" t="s">
        <v>61</v>
      </c>
      <c r="N39" s="51"/>
      <c r="O39" s="52" t="s">
        <v>131</v>
      </c>
      <c r="P39" s="52" t="s">
        <v>132</v>
      </c>
    </row>
    <row r="40" spans="1:16" ht="12.75" customHeight="1" thickBot="1">
      <c r="A40" s="16" t="str">
        <f t="shared" si="0"/>
        <v> MSAI 43.327 </v>
      </c>
      <c r="B40" s="20" t="str">
        <f t="shared" si="1"/>
        <v>I</v>
      </c>
      <c r="C40" s="16">
        <f t="shared" si="2"/>
        <v>41209.306</v>
      </c>
      <c r="D40" s="18" t="str">
        <f t="shared" si="3"/>
        <v>vis</v>
      </c>
      <c r="E40" s="49">
        <f>VLOOKUP(C40,A!C$21:E$973,3,FALSE)</f>
        <v>5595.971486308923</v>
      </c>
      <c r="F40" s="20" t="s">
        <v>58</v>
      </c>
      <c r="G40" s="18" t="str">
        <f t="shared" si="4"/>
        <v>41209.306</v>
      </c>
      <c r="H40" s="16">
        <f t="shared" si="5"/>
        <v>5596</v>
      </c>
      <c r="I40" s="50" t="s">
        <v>145</v>
      </c>
      <c r="J40" s="51" t="s">
        <v>146</v>
      </c>
      <c r="K40" s="50">
        <v>5596</v>
      </c>
      <c r="L40" s="50" t="s">
        <v>147</v>
      </c>
      <c r="M40" s="51" t="s">
        <v>61</v>
      </c>
      <c r="N40" s="51"/>
      <c r="O40" s="52" t="s">
        <v>131</v>
      </c>
      <c r="P40" s="52" t="s">
        <v>132</v>
      </c>
    </row>
    <row r="41" spans="1:16" ht="12.75" customHeight="1" thickBot="1">
      <c r="A41" s="16" t="str">
        <f t="shared" si="0"/>
        <v> BRNO 26 </v>
      </c>
      <c r="B41" s="20" t="str">
        <f t="shared" si="1"/>
        <v>I</v>
      </c>
      <c r="C41" s="16">
        <f t="shared" si="2"/>
        <v>44855.461</v>
      </c>
      <c r="D41" s="18" t="str">
        <f t="shared" si="3"/>
        <v>vis</v>
      </c>
      <c r="E41" s="49">
        <f>VLOOKUP(C41,A!C$21:E$973,3,FALSE)</f>
        <v>6895.0185834931835</v>
      </c>
      <c r="F41" s="20" t="s">
        <v>58</v>
      </c>
      <c r="G41" s="18" t="str">
        <f t="shared" si="4"/>
        <v>44855.461</v>
      </c>
      <c r="H41" s="16">
        <f t="shared" si="5"/>
        <v>6895</v>
      </c>
      <c r="I41" s="50" t="s">
        <v>148</v>
      </c>
      <c r="J41" s="51" t="s">
        <v>149</v>
      </c>
      <c r="K41" s="50">
        <v>6895</v>
      </c>
      <c r="L41" s="50" t="s">
        <v>150</v>
      </c>
      <c r="M41" s="51" t="s">
        <v>127</v>
      </c>
      <c r="N41" s="51"/>
      <c r="O41" s="52" t="s">
        <v>151</v>
      </c>
      <c r="P41" s="52" t="s">
        <v>152</v>
      </c>
    </row>
    <row r="42" spans="1:16" ht="12.75" customHeight="1" thickBot="1">
      <c r="A42" s="16" t="str">
        <f t="shared" si="0"/>
        <v> BRNO 27 </v>
      </c>
      <c r="B42" s="20" t="str">
        <f t="shared" si="1"/>
        <v>I</v>
      </c>
      <c r="C42" s="16">
        <f t="shared" si="2"/>
        <v>45916.449</v>
      </c>
      <c r="D42" s="18" t="str">
        <f t="shared" si="3"/>
        <v>vis</v>
      </c>
      <c r="E42" s="49">
        <f>VLOOKUP(C42,A!C$21:E$973,3,FALSE)</f>
        <v>7273.025931383586</v>
      </c>
      <c r="F42" s="20" t="s">
        <v>58</v>
      </c>
      <c r="G42" s="18" t="str">
        <f t="shared" si="4"/>
        <v>45916.449</v>
      </c>
      <c r="H42" s="16">
        <f t="shared" si="5"/>
        <v>7273</v>
      </c>
      <c r="I42" s="50" t="s">
        <v>153</v>
      </c>
      <c r="J42" s="51" t="s">
        <v>154</v>
      </c>
      <c r="K42" s="50">
        <v>7273</v>
      </c>
      <c r="L42" s="50" t="s">
        <v>155</v>
      </c>
      <c r="M42" s="51" t="s">
        <v>127</v>
      </c>
      <c r="N42" s="51"/>
      <c r="O42" s="52" t="s">
        <v>156</v>
      </c>
      <c r="P42" s="52" t="s">
        <v>157</v>
      </c>
    </row>
    <row r="43" spans="1:16" ht="12.75" customHeight="1" thickBot="1">
      <c r="A43" s="16" t="str">
        <f t="shared" si="0"/>
        <v> BBS 119 </v>
      </c>
      <c r="B43" s="20" t="str">
        <f t="shared" si="1"/>
        <v>I</v>
      </c>
      <c r="C43" s="16">
        <f t="shared" si="2"/>
        <v>51075.39</v>
      </c>
      <c r="D43" s="18" t="str">
        <f t="shared" si="3"/>
        <v>vis</v>
      </c>
      <c r="E43" s="49">
        <f>VLOOKUP(C43,A!C$21:E$973,3,FALSE)</f>
        <v>9111.046347574027</v>
      </c>
      <c r="F43" s="20" t="s">
        <v>58</v>
      </c>
      <c r="G43" s="18" t="str">
        <f t="shared" si="4"/>
        <v>51075.39</v>
      </c>
      <c r="H43" s="16">
        <f t="shared" si="5"/>
        <v>9111</v>
      </c>
      <c r="I43" s="50" t="s">
        <v>168</v>
      </c>
      <c r="J43" s="51" t="s">
        <v>169</v>
      </c>
      <c r="K43" s="50">
        <v>9111</v>
      </c>
      <c r="L43" s="50" t="s">
        <v>170</v>
      </c>
      <c r="M43" s="51" t="s">
        <v>63</v>
      </c>
      <c r="N43" s="51" t="s">
        <v>64</v>
      </c>
      <c r="O43" s="52" t="s">
        <v>65</v>
      </c>
      <c r="P43" s="52" t="s">
        <v>171</v>
      </c>
    </row>
    <row r="44" spans="1:16" ht="12.75" customHeight="1" thickBot="1">
      <c r="A44" s="16" t="str">
        <f t="shared" si="0"/>
        <v> BRNO 32 </v>
      </c>
      <c r="B44" s="20" t="str">
        <f t="shared" si="1"/>
        <v>I</v>
      </c>
      <c r="C44" s="16">
        <f t="shared" si="2"/>
        <v>51134.3174</v>
      </c>
      <c r="D44" s="18" t="str">
        <f t="shared" si="3"/>
        <v>vis</v>
      </c>
      <c r="E44" s="49">
        <f>VLOOKUP(C44,A!C$21:E$973,3,FALSE)</f>
        <v>9132.04092073798</v>
      </c>
      <c r="F44" s="20" t="s">
        <v>58</v>
      </c>
      <c r="G44" s="18" t="str">
        <f t="shared" si="4"/>
        <v>51134.3174</v>
      </c>
      <c r="H44" s="16">
        <f t="shared" si="5"/>
        <v>9132</v>
      </c>
      <c r="I44" s="50" t="s">
        <v>172</v>
      </c>
      <c r="J44" s="51" t="s">
        <v>173</v>
      </c>
      <c r="K44" s="50">
        <v>9132</v>
      </c>
      <c r="L44" s="50" t="s">
        <v>174</v>
      </c>
      <c r="M44" s="51" t="s">
        <v>63</v>
      </c>
      <c r="N44" s="51" t="s">
        <v>64</v>
      </c>
      <c r="O44" s="52" t="s">
        <v>175</v>
      </c>
      <c r="P44" s="52" t="s">
        <v>176</v>
      </c>
    </row>
    <row r="45" spans="1:16" ht="12.75" customHeight="1" thickBot="1">
      <c r="A45" s="16" t="str">
        <f t="shared" si="0"/>
        <v> BBS 126 </v>
      </c>
      <c r="B45" s="20" t="str">
        <f t="shared" si="1"/>
        <v>I</v>
      </c>
      <c r="C45" s="16">
        <f t="shared" si="2"/>
        <v>52133.5491</v>
      </c>
      <c r="D45" s="18" t="str">
        <f t="shared" si="3"/>
        <v>vis</v>
      </c>
      <c r="E45" s="49">
        <f>VLOOKUP(C45,A!C$21:E$973,3,FALSE)</f>
        <v>9488.045818856543</v>
      </c>
      <c r="F45" s="20" t="s">
        <v>58</v>
      </c>
      <c r="G45" s="18" t="str">
        <f t="shared" si="4"/>
        <v>52133.5491</v>
      </c>
      <c r="H45" s="16">
        <f t="shared" si="5"/>
        <v>9488</v>
      </c>
      <c r="I45" s="50" t="s">
        <v>186</v>
      </c>
      <c r="J45" s="51" t="s">
        <v>187</v>
      </c>
      <c r="K45" s="50">
        <v>9488</v>
      </c>
      <c r="L45" s="50" t="s">
        <v>188</v>
      </c>
      <c r="M45" s="51" t="s">
        <v>63</v>
      </c>
      <c r="N45" s="51" t="s">
        <v>64</v>
      </c>
      <c r="O45" s="52" t="s">
        <v>65</v>
      </c>
      <c r="P45" s="52" t="s">
        <v>189</v>
      </c>
    </row>
    <row r="46" spans="1:16" ht="12.75" customHeight="1" thickBot="1">
      <c r="A46" s="16" t="str">
        <f t="shared" si="0"/>
        <v>BAVM 212 </v>
      </c>
      <c r="B46" s="20" t="str">
        <f t="shared" si="1"/>
        <v>I</v>
      </c>
      <c r="C46" s="16">
        <f t="shared" si="2"/>
        <v>55041.385</v>
      </c>
      <c r="D46" s="18" t="str">
        <f t="shared" si="3"/>
        <v>vis</v>
      </c>
      <c r="E46" s="49">
        <f>VLOOKUP(C46,A!C$21:E$973,3,FALSE)</f>
        <v>10524.045600814025</v>
      </c>
      <c r="F46" s="20" t="s">
        <v>58</v>
      </c>
      <c r="G46" s="18" t="str">
        <f t="shared" si="4"/>
        <v>55041.3850</v>
      </c>
      <c r="H46" s="16">
        <f t="shared" si="5"/>
        <v>10524</v>
      </c>
      <c r="I46" s="50" t="s">
        <v>195</v>
      </c>
      <c r="J46" s="51" t="s">
        <v>196</v>
      </c>
      <c r="K46" s="50">
        <v>10524</v>
      </c>
      <c r="L46" s="50" t="s">
        <v>197</v>
      </c>
      <c r="M46" s="51" t="s">
        <v>67</v>
      </c>
      <c r="N46" s="51" t="s">
        <v>68</v>
      </c>
      <c r="O46" s="52" t="s">
        <v>69</v>
      </c>
      <c r="P46" s="53" t="s">
        <v>70</v>
      </c>
    </row>
    <row r="47" spans="2:6" ht="12.75">
      <c r="B47" s="20"/>
      <c r="E47" s="49"/>
      <c r="F47" s="20"/>
    </row>
    <row r="48" spans="2:6" ht="12.75">
      <c r="B48" s="20"/>
      <c r="E48" s="49"/>
      <c r="F48" s="20"/>
    </row>
    <row r="49" spans="2:6" ht="12.75">
      <c r="B49" s="20"/>
      <c r="E49" s="49"/>
      <c r="F49" s="20"/>
    </row>
    <row r="50" spans="2:6" ht="12.75">
      <c r="B50" s="20"/>
      <c r="E50" s="49"/>
      <c r="F50" s="20"/>
    </row>
    <row r="51" spans="2:6" ht="12.75">
      <c r="B51" s="20"/>
      <c r="E51" s="49"/>
      <c r="F51" s="20"/>
    </row>
    <row r="52" spans="2:6" ht="12.75">
      <c r="B52" s="20"/>
      <c r="E52" s="49"/>
      <c r="F52" s="20"/>
    </row>
    <row r="53" spans="2:6" ht="12.75">
      <c r="B53" s="20"/>
      <c r="E53" s="49"/>
      <c r="F53" s="20"/>
    </row>
    <row r="54" spans="2:6" ht="12.75">
      <c r="B54" s="20"/>
      <c r="E54" s="49"/>
      <c r="F54" s="20"/>
    </row>
    <row r="55" spans="2:6" ht="12.75">
      <c r="B55" s="20"/>
      <c r="E55" s="49"/>
      <c r="F55" s="20"/>
    </row>
    <row r="56" spans="2:6" ht="12.75">
      <c r="B56" s="20"/>
      <c r="E56" s="49"/>
      <c r="F56" s="20"/>
    </row>
    <row r="57" spans="2:6" ht="12.75">
      <c r="B57" s="20"/>
      <c r="E57" s="49"/>
      <c r="F57" s="20"/>
    </row>
    <row r="58" spans="2:6" ht="12.75">
      <c r="B58" s="20"/>
      <c r="E58" s="49"/>
      <c r="F58" s="20"/>
    </row>
    <row r="59" spans="2:6" ht="12.75">
      <c r="B59" s="20"/>
      <c r="E59" s="49"/>
      <c r="F59" s="20"/>
    </row>
    <row r="60" spans="2:6" ht="12.75">
      <c r="B60" s="20"/>
      <c r="E60" s="49"/>
      <c r="F60" s="20"/>
    </row>
    <row r="61" spans="2:6" ht="12.75">
      <c r="B61" s="20"/>
      <c r="E61" s="49"/>
      <c r="F61" s="20"/>
    </row>
    <row r="62" spans="2:6" ht="12.75">
      <c r="B62" s="20"/>
      <c r="E62" s="49"/>
      <c r="F62" s="20"/>
    </row>
    <row r="63" spans="2:6" ht="12.75">
      <c r="B63" s="20"/>
      <c r="E63" s="49"/>
      <c r="F63" s="20"/>
    </row>
    <row r="64" spans="2:6" ht="12.75">
      <c r="B64" s="20"/>
      <c r="E64" s="49"/>
      <c r="F64" s="20"/>
    </row>
    <row r="65" spans="2:6" ht="12.75">
      <c r="B65" s="20"/>
      <c r="E65" s="49"/>
      <c r="F65" s="20"/>
    </row>
    <row r="66" spans="2:6" ht="12.75">
      <c r="B66" s="20"/>
      <c r="E66" s="49"/>
      <c r="F66" s="20"/>
    </row>
    <row r="67" spans="2:6" ht="12.75">
      <c r="B67" s="20"/>
      <c r="E67" s="49"/>
      <c r="F67" s="20"/>
    </row>
    <row r="68" spans="2:6" ht="12.75">
      <c r="B68" s="20"/>
      <c r="F68" s="20"/>
    </row>
    <row r="69" spans="2:6" ht="12.75">
      <c r="B69" s="20"/>
      <c r="F69" s="20"/>
    </row>
    <row r="70" spans="2:6" ht="12.75">
      <c r="B70" s="20"/>
      <c r="F70" s="20"/>
    </row>
    <row r="71" spans="2:6" ht="12.75">
      <c r="B71" s="20"/>
      <c r="F71" s="20"/>
    </row>
    <row r="72" spans="2:6" ht="12.75">
      <c r="B72" s="20"/>
      <c r="F72" s="20"/>
    </row>
    <row r="73" spans="2:6" ht="12.75">
      <c r="B73" s="20"/>
      <c r="F73" s="20"/>
    </row>
    <row r="74" spans="2:6" ht="12.75">
      <c r="B74" s="20"/>
      <c r="F74" s="20"/>
    </row>
    <row r="75" spans="2:6" ht="12.75">
      <c r="B75" s="20"/>
      <c r="F75" s="20"/>
    </row>
    <row r="76" spans="2:6" ht="12.75">
      <c r="B76" s="20"/>
      <c r="F76" s="20"/>
    </row>
    <row r="77" spans="2:6" ht="12.75">
      <c r="B77" s="20"/>
      <c r="F77" s="20"/>
    </row>
    <row r="78" spans="2:6" ht="12.75">
      <c r="B78" s="20"/>
      <c r="F78" s="20"/>
    </row>
    <row r="79" spans="2:6" ht="12.75">
      <c r="B79" s="20"/>
      <c r="F79" s="20"/>
    </row>
    <row r="80" spans="2:6" ht="12.75">
      <c r="B80" s="20"/>
      <c r="F80" s="20"/>
    </row>
    <row r="81" spans="2:6" ht="12.75">
      <c r="B81" s="20"/>
      <c r="F81" s="20"/>
    </row>
    <row r="82" spans="2:6" ht="12.75">
      <c r="B82" s="20"/>
      <c r="F82" s="20"/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  <row r="794" spans="2:6" ht="12.75">
      <c r="B794" s="20"/>
      <c r="F794" s="20"/>
    </row>
    <row r="795" spans="2:6" ht="12.75">
      <c r="B795" s="20"/>
      <c r="F795" s="20"/>
    </row>
    <row r="796" spans="2:6" ht="12.75">
      <c r="B796" s="20"/>
      <c r="F796" s="20"/>
    </row>
    <row r="797" spans="2:6" ht="12.75">
      <c r="B797" s="20"/>
      <c r="F797" s="20"/>
    </row>
    <row r="798" spans="2:6" ht="12.75">
      <c r="B798" s="20"/>
      <c r="F798" s="20"/>
    </row>
    <row r="799" spans="2:6" ht="12.75">
      <c r="B799" s="20"/>
      <c r="F799" s="20"/>
    </row>
    <row r="800" spans="2:6" ht="12.75">
      <c r="B800" s="20"/>
      <c r="F800" s="20"/>
    </row>
    <row r="801" spans="2:6" ht="12.75">
      <c r="B801" s="20"/>
      <c r="F801" s="20"/>
    </row>
    <row r="802" spans="2:6" ht="12.75">
      <c r="B802" s="20"/>
      <c r="F802" s="20"/>
    </row>
    <row r="803" spans="2:6" ht="12.75">
      <c r="B803" s="20"/>
      <c r="F803" s="20"/>
    </row>
    <row r="804" spans="2:6" ht="12.75">
      <c r="B804" s="20"/>
      <c r="F804" s="20"/>
    </row>
    <row r="805" spans="2:6" ht="12.75">
      <c r="B805" s="20"/>
      <c r="F805" s="20"/>
    </row>
    <row r="806" spans="2:6" ht="12.75">
      <c r="B806" s="20"/>
      <c r="F806" s="20"/>
    </row>
    <row r="807" spans="2:6" ht="12.75">
      <c r="B807" s="20"/>
      <c r="F807" s="20"/>
    </row>
    <row r="808" spans="2:6" ht="12.75">
      <c r="B808" s="20"/>
      <c r="F808" s="20"/>
    </row>
    <row r="809" spans="2:6" ht="12.75">
      <c r="B809" s="20"/>
      <c r="F809" s="20"/>
    </row>
    <row r="810" spans="2:6" ht="12.75">
      <c r="B810" s="20"/>
      <c r="F810" s="20"/>
    </row>
    <row r="811" spans="2:6" ht="12.75">
      <c r="B811" s="20"/>
      <c r="F811" s="20"/>
    </row>
    <row r="812" spans="2:6" ht="12.75">
      <c r="B812" s="20"/>
      <c r="F812" s="20"/>
    </row>
    <row r="813" spans="2:6" ht="12.75">
      <c r="B813" s="20"/>
      <c r="F813" s="20"/>
    </row>
    <row r="814" spans="2:6" ht="12.75">
      <c r="B814" s="20"/>
      <c r="F814" s="20"/>
    </row>
    <row r="815" spans="2:6" ht="12.75">
      <c r="B815" s="20"/>
      <c r="F815" s="20"/>
    </row>
    <row r="816" spans="2:6" ht="12.75">
      <c r="B816" s="20"/>
      <c r="F816" s="20"/>
    </row>
    <row r="817" spans="2:6" ht="12.75">
      <c r="B817" s="20"/>
      <c r="F817" s="20"/>
    </row>
    <row r="818" spans="2:6" ht="12.75">
      <c r="B818" s="20"/>
      <c r="F818" s="20"/>
    </row>
    <row r="819" spans="2:6" ht="12.75">
      <c r="B819" s="20"/>
      <c r="F819" s="20"/>
    </row>
    <row r="820" spans="2:6" ht="12.75">
      <c r="B820" s="20"/>
      <c r="F820" s="20"/>
    </row>
    <row r="821" spans="2:6" ht="12.75">
      <c r="B821" s="20"/>
      <c r="F821" s="20"/>
    </row>
    <row r="822" spans="2:6" ht="12.75">
      <c r="B822" s="20"/>
      <c r="F822" s="20"/>
    </row>
    <row r="823" spans="2:6" ht="12.75">
      <c r="B823" s="20"/>
      <c r="F823" s="20"/>
    </row>
    <row r="824" spans="2:6" ht="12.75">
      <c r="B824" s="20"/>
      <c r="F824" s="20"/>
    </row>
    <row r="825" spans="2:6" ht="12.75">
      <c r="B825" s="20"/>
      <c r="F825" s="20"/>
    </row>
    <row r="826" spans="2:6" ht="12.75">
      <c r="B826" s="20"/>
      <c r="F826" s="20"/>
    </row>
    <row r="827" spans="2:6" ht="12.75">
      <c r="B827" s="20"/>
      <c r="F827" s="20"/>
    </row>
    <row r="828" spans="2:6" ht="12.75">
      <c r="B828" s="20"/>
      <c r="F828" s="20"/>
    </row>
    <row r="829" spans="2:6" ht="12.75">
      <c r="B829" s="20"/>
      <c r="F829" s="20"/>
    </row>
    <row r="830" spans="2:6" ht="12.75">
      <c r="B830" s="20"/>
      <c r="F830" s="20"/>
    </row>
    <row r="831" spans="2:6" ht="12.75">
      <c r="B831" s="20"/>
      <c r="F831" s="20"/>
    </row>
    <row r="832" spans="2:6" ht="12.75">
      <c r="B832" s="20"/>
      <c r="F832" s="20"/>
    </row>
    <row r="833" spans="2:6" ht="12.75">
      <c r="B833" s="20"/>
      <c r="F833" s="20"/>
    </row>
    <row r="834" spans="2:6" ht="12.75">
      <c r="B834" s="20"/>
      <c r="F834" s="20"/>
    </row>
    <row r="835" spans="2:6" ht="12.75">
      <c r="B835" s="20"/>
      <c r="F835" s="20"/>
    </row>
    <row r="836" spans="2:6" ht="12.75">
      <c r="B836" s="20"/>
      <c r="F836" s="20"/>
    </row>
    <row r="837" spans="2:6" ht="12.75">
      <c r="B837" s="20"/>
      <c r="F837" s="20"/>
    </row>
    <row r="838" spans="2:6" ht="12.75">
      <c r="B838" s="20"/>
      <c r="F838" s="20"/>
    </row>
    <row r="839" spans="2:6" ht="12.75">
      <c r="B839" s="20"/>
      <c r="F839" s="20"/>
    </row>
    <row r="840" spans="2:6" ht="12.75">
      <c r="B840" s="20"/>
      <c r="F840" s="20"/>
    </row>
    <row r="841" spans="2:6" ht="12.75">
      <c r="B841" s="20"/>
      <c r="F841" s="20"/>
    </row>
    <row r="842" spans="2:6" ht="12.75">
      <c r="B842" s="20"/>
      <c r="F842" s="20"/>
    </row>
    <row r="843" spans="2:6" ht="12.75">
      <c r="B843" s="20"/>
      <c r="F843" s="20"/>
    </row>
    <row r="844" spans="2:6" ht="12.75">
      <c r="B844" s="20"/>
      <c r="F844" s="20"/>
    </row>
    <row r="845" spans="2:6" ht="12.75">
      <c r="B845" s="20"/>
      <c r="F845" s="20"/>
    </row>
    <row r="846" spans="2:6" ht="12.75">
      <c r="B846" s="20"/>
      <c r="F846" s="20"/>
    </row>
    <row r="847" spans="2:6" ht="12.75">
      <c r="B847" s="20"/>
      <c r="F847" s="20"/>
    </row>
    <row r="848" spans="2:6" ht="12.75">
      <c r="B848" s="20"/>
      <c r="F848" s="20"/>
    </row>
    <row r="849" spans="2:6" ht="12.75">
      <c r="B849" s="20"/>
      <c r="F849" s="20"/>
    </row>
    <row r="850" spans="2:6" ht="12.75">
      <c r="B850" s="20"/>
      <c r="F850" s="20"/>
    </row>
    <row r="851" spans="2:6" ht="12.75">
      <c r="B851" s="20"/>
      <c r="F851" s="20"/>
    </row>
    <row r="852" spans="2:6" ht="12.75">
      <c r="B852" s="20"/>
      <c r="F852" s="20"/>
    </row>
    <row r="853" spans="2:6" ht="12.75">
      <c r="B853" s="20"/>
      <c r="F853" s="20"/>
    </row>
    <row r="854" spans="2:6" ht="12.75">
      <c r="B854" s="20"/>
      <c r="F854" s="20"/>
    </row>
    <row r="855" spans="2:6" ht="12.75">
      <c r="B855" s="20"/>
      <c r="F855" s="20"/>
    </row>
  </sheetData>
  <sheetProtection/>
  <hyperlinks>
    <hyperlink ref="P11" r:id="rId1" display="http://www.konkoly.hu/cgi-bin/IBVS?4887"/>
    <hyperlink ref="P12" r:id="rId2" display="http://www.konkoly.hu/cgi-bin/IBVS?4888"/>
    <hyperlink ref="P13" r:id="rId3" display="http://www.konkoly.hu/cgi-bin/IBVS?5287"/>
    <hyperlink ref="P14" r:id="rId4" display="http://var.astro.cz/oejv/issues/oejv0074.pdf"/>
    <hyperlink ref="P15" r:id="rId5" display="http://www.konkoly.hu/cgi-bin/IBVS?5653"/>
    <hyperlink ref="P46" r:id="rId6" display="http://www.bav-astro.de/sfs/BAVM_link.php?BAVMnr=212"/>
    <hyperlink ref="P16" r:id="rId7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