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10470" windowHeight="14505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<sst xmlns="http://schemas.openxmlformats.org/spreadsheetml/2006/main" count="474" uniqueCount="224">
  <si>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</si>
  <si>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</si>
  <si>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</si>
  <si>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</si>
  <si>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</si>
  <si>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</si>
  <si>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</si>
  <si>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</si>
  <si>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</si>
  <si>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</si>
  <si>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</si>
  <si>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</si>
  <si>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</si>
  <si>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</si>
  <si>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</si>
  <si>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</si>
  <si>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</si>
  <si>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</si>
  <si>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</si>
  <si>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</si>
  <si>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</si>
  <si>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</si>
  <si>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</si>
  <si>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</si>
  <si>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</si>
  <si>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</si>
  <si>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</si>
  <si>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</si>
  <si>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</si>
  <si>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</si>
  <si>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</si>
  <si>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</si>
  <si>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 5484</t>
  </si>
  <si>
    <t>IBVS</t>
  </si>
  <si>
    <t>IZ Lac / na</t>
  </si>
  <si>
    <t>EB/KE</t>
  </si>
  <si>
    <t>IBVS 5657</t>
  </si>
  <si>
    <t>Is Period = half this?</t>
  </si>
  <si>
    <t># of data points:</t>
  </si>
  <si>
    <t>IBVS 5731</t>
  </si>
  <si>
    <t>IZ Lac / gsc 3618-0596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</si>
  <si>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</si>
  <si>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</si>
  <si>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</si>
  <si>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</si>
  <si>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</si>
  <si>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</si>
  <si>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5296</t>
  </si>
  <si>
    <t>I</t>
  </si>
  <si>
    <t>IBVS 5502</t>
  </si>
  <si>
    <t>IBVS 5929</t>
  </si>
  <si>
    <t>Add cycle</t>
  </si>
  <si>
    <t>Old Cycle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</si>
  <si>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</si>
  <si>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</si>
  <si>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</si>
  <si>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</si>
  <si>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</si>
  <si>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</si>
  <si>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</si>
  <si>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</si>
  <si>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</si>
  <si>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</si>
  <si>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</si>
  <si>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</si>
  <si>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</si>
  <si>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</si>
  <si>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2432768.497 </t>
  </si>
  <si>
    <t> 04.08.1948 23:55 </t>
  </si>
  <si>
    <t> -0.018 </t>
  </si>
  <si>
    <t>P </t>
  </si>
  <si>
    <t> Miller &amp; Wachmann </t>
  </si>
  <si>
    <t> RIA 8.230 </t>
  </si>
  <si>
    <t>2432936.293 </t>
  </si>
  <si>
    <t> 19.01.1949 19:01 </t>
  </si>
  <si>
    <t> 0.014 </t>
  </si>
  <si>
    <t>2433186.340 </t>
  </si>
  <si>
    <t> 26.09.1949 20:09 </t>
  </si>
  <si>
    <t> 0.012 </t>
  </si>
  <si>
    <t>2433511.470 </t>
  </si>
  <si>
    <t> 17.08.1950 23:16 </t>
  </si>
  <si>
    <t> -0.002 </t>
  </si>
  <si>
    <t>2434298.360 </t>
  </si>
  <si>
    <t> 12.10.1952 20:38 </t>
  </si>
  <si>
    <t> -0.006 </t>
  </si>
  <si>
    <t>2451780.4439 </t>
  </si>
  <si>
    <t> 23.08.2000 22:39 </t>
  </si>
  <si>
    <t> -0.1692 </t>
  </si>
  <si>
    <t>E </t>
  </si>
  <si>
    <t>o</t>
  </si>
  <si>
    <t> F.Agerer </t>
  </si>
  <si>
    <t>BAVM 152 </t>
  </si>
  <si>
    <t>2451786.4459 </t>
  </si>
  <si>
    <t> 29.08.2000 22:42 </t>
  </si>
  <si>
    <t> -0.1588 </t>
  </si>
  <si>
    <t>2451814.40 </t>
  </si>
  <si>
    <t> 26.09.2000 21:36 </t>
  </si>
  <si>
    <t> -0.17 </t>
  </si>
  <si>
    <t>2451816.3977 </t>
  </si>
  <si>
    <t> 28.09.2000 21:32 </t>
  </si>
  <si>
    <t> -0.1649 </t>
  </si>
  <si>
    <t>2452133.563 </t>
  </si>
  <si>
    <t> 12.08.2001 01:30 </t>
  </si>
  <si>
    <t> -0.154 </t>
  </si>
  <si>
    <t>2452503.4622 </t>
  </si>
  <si>
    <t> 16.08.2002 23:05 </t>
  </si>
  <si>
    <t> -0.1355 </t>
  </si>
  <si>
    <t>-I</t>
  </si>
  <si>
    <t>BAVM 158 </t>
  </si>
  <si>
    <t>2452621.3090 </t>
  </si>
  <si>
    <t> 12.12.2002 19:24 </t>
  </si>
  <si>
    <t>24851</t>
  </si>
  <si>
    <t> -0.1232 </t>
  </si>
  <si>
    <t>2452967.642 </t>
  </si>
  <si>
    <t> 24.11.2003 03:24 </t>
  </si>
  <si>
    <t>25284.5</t>
  </si>
  <si>
    <t> -0.104 </t>
  </si>
  <si>
    <t>?</t>
  </si>
  <si>
    <t> S.Dvorak </t>
  </si>
  <si>
    <t>IBVS 5502 </t>
  </si>
  <si>
    <t>2453226.4903 </t>
  </si>
  <si>
    <t> 08.08.2004 23:46 </t>
  </si>
  <si>
    <t>25608.5</t>
  </si>
  <si>
    <t> -0.0920 </t>
  </si>
  <si>
    <t>BAVM 173 </t>
  </si>
  <si>
    <t>2453242.4652 </t>
  </si>
  <si>
    <t> 24.08.2004 23:09 </t>
  </si>
  <si>
    <t>25628.5</t>
  </si>
  <si>
    <t> -0.0946 </t>
  </si>
  <si>
    <t>2453250.4567 </t>
  </si>
  <si>
    <t> 01.09.2004 22:57 </t>
  </si>
  <si>
    <t>25638.5</t>
  </si>
  <si>
    <t> -0.0919 </t>
  </si>
  <si>
    <t>2453256.4572 </t>
  </si>
  <si>
    <t> 07.09.2004 22:58 </t>
  </si>
  <si>
    <t>25646</t>
  </si>
  <si>
    <t> -0.0830 </t>
  </si>
  <si>
    <t>2453284.4188 </t>
  </si>
  <si>
    <t> 05.10.2004 22:03 </t>
  </si>
  <si>
    <t>25681</t>
  </si>
  <si>
    <t> -0.0821 </t>
  </si>
  <si>
    <t>2453653.5105 </t>
  </si>
  <si>
    <t> 10.10.2005 00:15 </t>
  </si>
  <si>
    <t>26143</t>
  </si>
  <si>
    <t> -0.0721 </t>
  </si>
  <si>
    <t>C </t>
  </si>
  <si>
    <t>BAVM 178 </t>
  </si>
  <si>
    <t>2454738.4644 </t>
  </si>
  <si>
    <t> 28.09.2008 23:08 </t>
  </si>
  <si>
    <t>27501</t>
  </si>
  <si>
    <t> 0.0055 </t>
  </si>
  <si>
    <t>BAVM 203 </t>
  </si>
  <si>
    <t>2454798.3731 </t>
  </si>
  <si>
    <t> 27.11.2008 20:57 </t>
  </si>
  <si>
    <t>27576</t>
  </si>
  <si>
    <t> -0.0016 </t>
  </si>
  <si>
    <t>2455050.4316 </t>
  </si>
  <si>
    <t> 06.08.2009 22:21 </t>
  </si>
  <si>
    <t>27891.5</t>
  </si>
  <si>
    <t> 0.0109 </t>
  </si>
  <si>
    <t>BAVM 212 </t>
  </si>
  <si>
    <t>2455058.4206 </t>
  </si>
  <si>
    <t> 14.08.2009 22:05 </t>
  </si>
  <si>
    <t>27901.5</t>
  </si>
  <si>
    <t> 0.0111 </t>
  </si>
  <si>
    <t>2455062.4149 </t>
  </si>
  <si>
    <t> 18.08.2009 21:57 </t>
  </si>
  <si>
    <t>27906.5</t>
  </si>
  <si>
    <t> 0.0110 </t>
  </si>
  <si>
    <t>2455062.815 </t>
  </si>
  <si>
    <t> 19.08.2009 07:33 </t>
  </si>
  <si>
    <t>27907</t>
  </si>
  <si>
    <t>R</t>
  </si>
  <si>
    <t> R.Nelson </t>
  </si>
  <si>
    <t>IBVS 5929 </t>
  </si>
  <si>
    <t>2455141.5086 </t>
  </si>
  <si>
    <t> 06.11.2009 00:12 </t>
  </si>
  <si>
    <t>28005.5</t>
  </si>
  <si>
    <t> 0.0158 </t>
  </si>
  <si>
    <t> P.Frank </t>
  </si>
  <si>
    <t>2455451.4918 </t>
  </si>
  <si>
    <t> 11.09.2010 23:48 </t>
  </si>
  <si>
    <t>28393.5</t>
  </si>
  <si>
    <t> 0.0343 </t>
  </si>
  <si>
    <t>BAVM 215 </t>
  </si>
  <si>
    <t>2455463.4758 </t>
  </si>
  <si>
    <t> 23.09.2010 23:25 </t>
  </si>
  <si>
    <t>28408.5</t>
  </si>
  <si>
    <t> 0.0351 </t>
  </si>
  <si>
    <t>2455815.4039 </t>
  </si>
  <si>
    <t> 10.09.2011 21:41 </t>
  </si>
  <si>
    <t>28849</t>
  </si>
  <si>
    <t> 0.0575 </t>
  </si>
  <si>
    <t>BAVM 225 </t>
  </si>
  <si>
    <t>2455849.3554 </t>
  </si>
  <si>
    <t> 14.10.2011 20:31 </t>
  </si>
  <si>
    <t>28891.5</t>
  </si>
  <si>
    <t> 0.0567 </t>
  </si>
  <si>
    <t>2455851.3580 </t>
  </si>
  <si>
    <t> 16.10.2011 20:35 </t>
  </si>
  <si>
    <t>28894</t>
  </si>
  <si>
    <t> 0.0621 </t>
  </si>
  <si>
    <t>2456568.3878 </t>
  </si>
  <si>
    <t> 02.10.2013 21:18 </t>
  </si>
  <si>
    <t>29791.5</t>
  </si>
  <si>
    <t> 0.0989 </t>
  </si>
  <si>
    <t>BAVM 234 </t>
  </si>
  <si>
    <t>2456600.3425 </t>
  </si>
  <si>
    <t> 03.11.2013 20:13 </t>
  </si>
  <si>
    <t>29831.5</t>
  </si>
  <si>
    <t> 0.0984 </t>
  </si>
  <si>
    <t>2456934.2955 </t>
  </si>
  <si>
    <t> 03.10.2014 19:05 </t>
  </si>
  <si>
    <t>30249.5</t>
  </si>
  <si>
    <t> 0.1204 </t>
  </si>
  <si>
    <t>BAVM 239 </t>
  </si>
  <si>
    <t>2456949.4765 </t>
  </si>
  <si>
    <t> 18.10.2014 23:26 </t>
  </si>
  <si>
    <t>30268.5</t>
  </si>
  <si>
    <t> 0.1228 </t>
  </si>
  <si>
    <t>II</t>
  </si>
  <si>
    <t>OEJV 0179</t>
  </si>
  <si>
    <t>JAVSO..44..164</t>
  </si>
  <si>
    <t>JAVSO..47..263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</si>
</sst>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4" fillId="24" borderId="18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0" xfId="61" applyFont="1" applyAlignment="1">
      <alignment horizontal="left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 Lac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Active!$F$21:$F$989</c:f>
              <c:numCache/>
            </c:numRef>
          </c:xVal>
          <c:yVal>
            <c:numRef>
              <c:f>Active!$H$21:$H$989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Active!$D$21:$D$989</c:f>
                <c:numCache>
                  <c:ptCount val="9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Active!$D$21:$D$989</c:f>
                <c:numCache>
                  <c:ptCount val="9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Active!$I$21:$I$989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Active!$D$21:$D$39</c:f>
                <c:numCache>
                  <c:ptCount val="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</c:numCache>
              </c:numRef>
            </c:plus>
            <c:minus>
              <c:numRef>
                <c:f>Active!$D$21:$D$39</c:f>
                <c:numCache>
                  <c:ptCount val="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Active!$J$21:$J$989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Active!$K$21:$K$989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Active!$L$21:$L$989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Active!$M$21:$M$989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Active!$N$21:$N$989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Active!$F$21:$F$989</c:f>
              <c:numCache/>
            </c:numRef>
          </c:xVal>
          <c:yVal>
            <c:numRef>
              <c:f>Active!$O$21:$O$989</c:f>
              <c:numCache/>
            </c:numRef>
          </c:yVal>
          <c:smooth val="0"/>
        </c:ser>
        <c:axId val="45049644"/>
        <c:axId val="2793613"/>
      </c:scatterChart>
      <c:valAx>
        <c:axId val="45049644"/>
        <c:scaling>
          <c:orientation val="minMax"/>
          <c:min val="2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crossBetween val="midCat"/>
        <c:dispUnits/>
      </c:valAx>
      <c:valAx>
        <c:axId val="2793613"/>
        <c:scaling>
          <c:orientation val="minMax"/>
          <c:max val="-0.1"/>
          <c:min val="-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 Lac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Active!$F$21:$F$989</c:f>
              <c:numCache/>
            </c:numRef>
          </c:xVal>
          <c:yVal>
            <c:numRef>
              <c:f>Active!$H$21:$H$989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Active!$D$21:$D$989</c:f>
                <c:numCache>
                  <c:ptCount val="9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plus>
            <c:minus>
              <c:numRef>
                <c:f>Active!$D$21:$D$989</c:f>
                <c:numCache>
                  <c:ptCount val="9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Active!$I$21:$I$989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Active!$D$21:$D$39</c:f>
                <c:numCache>
                  <c:ptCount val="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</c:numCache>
              </c:numRef>
            </c:plus>
            <c:minus>
              <c:numRef>
                <c:f>Active!$D$21:$D$39</c:f>
                <c:numCache>
                  <c:ptCount val="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Active!$J$21:$J$989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Active!$K$21:$K$989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Active!$L$21:$L$989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Active!$M$21:$M$989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plus>
            <c:minus>
              <c:numRef>
                <c:f>Active!$D$21:$D$89</c:f>
                <c:numCache>
                  <c:ptCount val="6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0.0006</c:v>
                  </c:pt>
                  <c:pt idx="7">
                    <c:v>0.0006</c:v>
                  </c:pt>
                  <c:pt idx="8">
                    <c:v>0.0045</c:v>
                  </c:pt>
                  <c:pt idx="9">
                    <c:v>0.01</c:v>
                  </c:pt>
                  <c:pt idx="10">
                    <c:v>0.0018</c:v>
                  </c:pt>
                  <c:pt idx="11">
                    <c:v>0.003</c:v>
                  </c:pt>
                  <c:pt idx="12">
                    <c:v>0.0019</c:v>
                  </c:pt>
                  <c:pt idx="13">
                    <c:v>0.0036</c:v>
                  </c:pt>
                  <c:pt idx="14">
                    <c:v>0.002</c:v>
                  </c:pt>
                  <c:pt idx="15">
                    <c:v>0.0015</c:v>
                  </c:pt>
                  <c:pt idx="16">
                    <c:v>0.002</c:v>
                  </c:pt>
                  <c:pt idx="17">
                    <c:v>0.0001</c:v>
                  </c:pt>
                  <c:pt idx="18">
                    <c:v>0.0042</c:v>
                  </c:pt>
                  <c:pt idx="19">
                    <c:v>0.0047</c:v>
                  </c:pt>
                  <c:pt idx="20">
                    <c:v>0.0027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</c:v>
                  </c:pt>
                  <c:pt idx="27">
                    <c:v>NaN</c:v>
                  </c:pt>
                  <c:pt idx="28">
                    <c:v>0.0078</c:v>
                  </c:pt>
                  <c:pt idx="29">
                    <c:v>0.0091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0.0056</c:v>
                  </c:pt>
                  <c:pt idx="34">
                    <c:v>0.0047</c:v>
                  </c:pt>
                  <c:pt idx="35">
                    <c:v>0.0013</c:v>
                  </c:pt>
                  <c:pt idx="36">
                    <c:v>0.0043</c:v>
                  </c:pt>
                  <c:pt idx="37">
                    <c:v>0.0008</c:v>
                  </c:pt>
                  <c:pt idx="38">
                    <c:v>0.001</c:v>
                  </c:pt>
                  <c:pt idx="39">
                    <c:v>0.0009</c:v>
                  </c:pt>
                  <c:pt idx="40">
                    <c:v>0.0031</c:v>
                  </c:pt>
                  <c:pt idx="41">
                    <c:v>0.001</c:v>
                  </c:pt>
                  <c:pt idx="42">
                    <c:v>0.0008</c:v>
                  </c:pt>
                  <c:pt idx="43">
                    <c:v>0.0013</c:v>
                  </c:pt>
                  <c:pt idx="44">
                    <c:v>0.0007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Active!$F$21:$F$989</c:f>
              <c:numCache/>
            </c:numRef>
          </c:xVal>
          <c:yVal>
            <c:numRef>
              <c:f>Active!$N$21:$N$989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Active!$F$21:$F$989</c:f>
              <c:numCache/>
            </c:numRef>
          </c:xVal>
          <c:yVal>
            <c:numRef>
              <c:f>Active!$O$21:$O$989</c:f>
              <c:numCache/>
            </c:numRef>
          </c:yVal>
          <c:smooth val="0"/>
        </c:ser>
        <c:axId val="25142518"/>
        <c:axId val="24956071"/>
      </c:scatterChart>
      <c:valAx>
        <c:axId val="2514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crossBetween val="midCat"/>
        <c:dispUnits/>
      </c:valAx>
      <c:valAx>
        <c:axId val="249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5"/>
          <c:y val="0.93075"/>
          <c:w val="0.880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 Lac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0.0019</c:v>
                  </c:pt>
                  <c:pt idx="2">
                    <c:v>0.0036</c:v>
                  </c:pt>
                  <c:pt idx="3">
                    <c:v>0.0015</c:v>
                  </c:pt>
                  <c:pt idx="4">
                    <c:v>0.002</c:v>
                  </c:pt>
                  <c:pt idx="5">
                    <c:v>0.0001</c:v>
                  </c:pt>
                  <c:pt idx="6">
                    <c:v>0.0042</c:v>
                  </c:pt>
                  <c:pt idx="7">
                    <c:v>0.0047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23278048"/>
        <c:axId val="8175841"/>
      </c:scatterChart>
      <c:valAx>
        <c:axId val="23278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crossBetween val="midCat"/>
        <c:dispUnits/>
      </c:valAx>
      <c:valAx>
        <c:axId val="8175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75"/>
          <c:y val="0.92925"/>
          <c:w val="0.943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4610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342900</xdr:colOff>
      <xdr:row>0</xdr:row>
      <xdr:rowOff>0</xdr:rowOff>
    </xdr:from>
    <xdr:to>
      <xdr:col>23</xdr:col>
      <xdr:colOff>190500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439400" y="0"/>
        <a:ext cx="4619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www.bav-astro.de/sfs/BAVM_link.php?BAVMnr=152" TargetMode="External" /><Relationship Id="rId3" Type="http://schemas.openxmlformats.org/officeDocument/2006/relationships/hyperlink" Target="http://www.bav-astro.de/sfs/BAVM_link.php?BAVMnr=152" TargetMode="External" /><Relationship Id="rId4" Type="http://schemas.openxmlformats.org/officeDocument/2006/relationships/hyperlink" Target="http://www.bav-astro.de/sfs/BAVM_link.php?BAVMnr=152" TargetMode="External" /><Relationship Id="rId5" Type="http://schemas.openxmlformats.org/officeDocument/2006/relationships/hyperlink" Target="http://www.bav-astro.de/sfs/BAVM_link.php?BAVMnr=152" TargetMode="External" /><Relationship Id="rId6" Type="http://schemas.openxmlformats.org/officeDocument/2006/relationships/hyperlink" Target="http://www.bav-astro.de/sfs/BAVM_link.php?BAVMnr=158" TargetMode="External" /><Relationship Id="rId7" Type="http://schemas.openxmlformats.org/officeDocument/2006/relationships/hyperlink" Target="http://www.bav-astro.de/sfs/BAVM_link.php?BAVMnr=158" TargetMode="External" /><Relationship Id="rId8" Type="http://schemas.openxmlformats.org/officeDocument/2006/relationships/hyperlink" Target="http://www.konkoly.hu/cgi-bin/IBVS?5502" TargetMode="External" /><Relationship Id="rId9" Type="http://schemas.openxmlformats.org/officeDocument/2006/relationships/hyperlink" Target="http://www.bav-astro.de/sfs/BAVM_link.php?BAVMnr=173" TargetMode="External" /><Relationship Id="rId10" Type="http://schemas.openxmlformats.org/officeDocument/2006/relationships/hyperlink" Target="http://www.bav-astro.de/sfs/BAVM_link.php?BAVMnr=173" TargetMode="External" /><Relationship Id="rId11" Type="http://schemas.openxmlformats.org/officeDocument/2006/relationships/hyperlink" Target="http://www.bav-astro.de/sfs/BAVM_link.php?BAVMnr=173" TargetMode="External" /><Relationship Id="rId12" Type="http://schemas.openxmlformats.org/officeDocument/2006/relationships/hyperlink" Target="http://www.bav-astro.de/sfs/BAVM_link.php?BAVMnr=173" TargetMode="External" /><Relationship Id="rId13" Type="http://schemas.openxmlformats.org/officeDocument/2006/relationships/hyperlink" Target="http://www.bav-astro.de/sfs/BAVM_link.php?BAVMnr=173" TargetMode="External" /><Relationship Id="rId14" Type="http://schemas.openxmlformats.org/officeDocument/2006/relationships/hyperlink" Target="http://www.bav-astro.de/sfs/BAVM_link.php?BAVMnr=178" TargetMode="External" /><Relationship Id="rId15" Type="http://schemas.openxmlformats.org/officeDocument/2006/relationships/hyperlink" Target="http://www.bav-astro.de/sfs/BAVM_link.php?BAVMnr=203" TargetMode="External" /><Relationship Id="rId16" Type="http://schemas.openxmlformats.org/officeDocument/2006/relationships/hyperlink" Target="http://www.bav-astro.de/sfs/BAVM_link.php?BAVMnr=203" TargetMode="External" /><Relationship Id="rId17" Type="http://schemas.openxmlformats.org/officeDocument/2006/relationships/hyperlink" Target="http://www.bav-astro.de/sfs/BAVM_link.php?BAVMnr=212" TargetMode="External" /><Relationship Id="rId18" Type="http://schemas.openxmlformats.org/officeDocument/2006/relationships/hyperlink" Target="http://www.bav-astro.de/sfs/BAVM_link.php?BAVMnr=212" TargetMode="External" /><Relationship Id="rId19" Type="http://schemas.openxmlformats.org/officeDocument/2006/relationships/hyperlink" Target="http://www.bav-astro.de/sfs/BAVM_link.php?BAVMnr=212" TargetMode="External" /><Relationship Id="rId20" Type="http://schemas.openxmlformats.org/officeDocument/2006/relationships/hyperlink" Target="http://www.konkoly.hu/cgi-bin/IBVS?5929" TargetMode="External" /><Relationship Id="rId21" Type="http://schemas.openxmlformats.org/officeDocument/2006/relationships/hyperlink" Target="http://www.bav-astro.de/sfs/BAVM_link.php?BAVMnr=212" TargetMode="External" /><Relationship Id="rId22" Type="http://schemas.openxmlformats.org/officeDocument/2006/relationships/hyperlink" Target="http://www.bav-astro.de/sfs/BAVM_link.php?BAVMnr=215" TargetMode="External" /><Relationship Id="rId23" Type="http://schemas.openxmlformats.org/officeDocument/2006/relationships/hyperlink" Target="http://www.bav-astro.de/sfs/BAVM_link.php?BAVMnr=215" TargetMode="External" /><Relationship Id="rId24" Type="http://schemas.openxmlformats.org/officeDocument/2006/relationships/hyperlink" Target="http://www.bav-astro.de/sfs/BAVM_link.php?BAVMnr=225" TargetMode="External" /><Relationship Id="rId25" Type="http://schemas.openxmlformats.org/officeDocument/2006/relationships/hyperlink" Target="http://www.bav-astro.de/sfs/BAVM_link.php?BAVMnr=225" TargetMode="External" /><Relationship Id="rId26" Type="http://schemas.openxmlformats.org/officeDocument/2006/relationships/hyperlink" Target="http://www.bav-astro.de/sfs/BAVM_link.php?BAVMnr=225" TargetMode="External" /><Relationship Id="rId27" Type="http://schemas.openxmlformats.org/officeDocument/2006/relationships/hyperlink" Target="http://www.bav-astro.de/sfs/BAVM_link.php?BAVMnr=234" TargetMode="External" /><Relationship Id="rId28" Type="http://schemas.openxmlformats.org/officeDocument/2006/relationships/hyperlink" Target="http://www.bav-astro.de/sfs/BAVM_link.php?BAVMnr=234" TargetMode="External" /><Relationship Id="rId29" Type="http://schemas.openxmlformats.org/officeDocument/2006/relationships/hyperlink" Target="http://www.bav-astro.de/sfs/BAVM_link.php?BAVMnr=239" TargetMode="External" /><Relationship Id="rId30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2" ht="12.75">
      <c r="A2" t="s">
        <v>28</v>
      </c>
      <c r="B2" s="14" t="s">
        <v>35</v>
      </c>
    </row>
    <row r="3" ht="13.5" thickBot="1">
      <c r="C3" s="19"/>
    </row>
    <row r="4" spans="1:4" ht="14.25" thickBot="1" thickTop="1">
      <c r="A4" s="8" t="s">
        <v>1</v>
      </c>
      <c r="C4" s="3">
        <v>32768.515</v>
      </c>
      <c r="D4" s="4">
        <v>0.798878</v>
      </c>
    </row>
    <row r="5" spans="1:4" ht="13.5" thickTop="1">
      <c r="A5" s="21" t="s">
        <v>41</v>
      </c>
      <c r="B5" s="20"/>
      <c r="C5" s="22">
        <v>-9.5</v>
      </c>
      <c r="D5" s="20" t="s">
        <v>42</v>
      </c>
    </row>
    <row r="6" ht="12.75">
      <c r="A6" s="8" t="s">
        <v>2</v>
      </c>
    </row>
    <row r="7" spans="1:3" ht="12.75">
      <c r="A7" t="s">
        <v>3</v>
      </c>
      <c r="C7">
        <f>+C4</f>
        <v>32768.515</v>
      </c>
    </row>
    <row r="8" spans="1:3" ht="12.75">
      <c r="A8" t="s">
        <v>4</v>
      </c>
      <c r="C8" s="18">
        <v>0.7989257265121407</v>
      </c>
    </row>
    <row r="9" spans="1:4" ht="12.75">
      <c r="A9" s="32" t="s">
        <v>46</v>
      </c>
      <c r="B9" s="33">
        <v>21</v>
      </c>
      <c r="C9" s="24" t="str">
        <f>"F"&amp;B9</f>
        <v>F21</v>
      </c>
      <c r="D9" s="18" t="str">
        <f>"G"&amp;B9</f>
        <v>G21</v>
      </c>
    </row>
    <row r="10" spans="1:5" ht="13.5" thickBot="1">
      <c r="A10" s="20"/>
      <c r="B10" s="20"/>
      <c r="C10" s="7" t="s">
        <v>23</v>
      </c>
      <c r="D10" s="7" t="s">
        <v>24</v>
      </c>
      <c r="E10" s="20"/>
    </row>
    <row r="11" spans="1:5" ht="12.75">
      <c r="A11" s="20" t="s">
        <v>17</v>
      </c>
      <c r="B11" s="20"/>
      <c r="C11" s="23">
        <f ca="1">INTERCEPT(INDIRECT($D$9):G989,INDIRECT($C$9):F989)</f>
        <v>-0.0262480640068692</v>
      </c>
      <c r="D11" s="6"/>
      <c r="E11" s="20"/>
    </row>
    <row r="12" spans="1:5" ht="12.75">
      <c r="A12" s="20" t="s">
        <v>18</v>
      </c>
      <c r="B12" s="20"/>
      <c r="C12" s="23">
        <f ca="1">SLOPE(INDIRECT($D$9):G989,INDIRECT($C$9):F989)</f>
        <v>-3.3581232233935245E-06</v>
      </c>
      <c r="D12" s="6"/>
      <c r="E12" s="20"/>
    </row>
    <row r="13" spans="1:3" ht="12.75">
      <c r="A13" s="20" t="s">
        <v>22</v>
      </c>
      <c r="B13" s="20"/>
      <c r="C13" s="6" t="s">
        <v>15</v>
      </c>
    </row>
    <row r="14" spans="1:3" ht="12.75">
      <c r="A14" s="20"/>
      <c r="B14" s="20"/>
      <c r="C14" s="20"/>
    </row>
    <row r="15" spans="1:6" ht="12.75">
      <c r="A15" s="25" t="s">
        <v>19</v>
      </c>
      <c r="B15" s="20"/>
      <c r="C15" s="12">
        <f>(C7+C11)+(C8+C12)*INT(MAX(F21:F3530))</f>
        <v>58045.59356539295</v>
      </c>
      <c r="E15" s="26" t="s">
        <v>51</v>
      </c>
      <c r="F15" s="22">
        <v>1</v>
      </c>
    </row>
    <row r="16" spans="1:6" ht="12.75">
      <c r="A16" s="28" t="s">
        <v>5</v>
      </c>
      <c r="B16" s="20"/>
      <c r="C16" s="13">
        <f>+C8+C12</f>
        <v>0.7989223683889173</v>
      </c>
      <c r="E16" s="26" t="s">
        <v>43</v>
      </c>
      <c r="F16" s="27">
        <f ca="1">NOW()+15018.5+$C$5/24</f>
        <v>59902.684754745365</v>
      </c>
    </row>
    <row r="17" spans="1:6" ht="13.5" thickBot="1">
      <c r="A17" s="26" t="s">
        <v>38</v>
      </c>
      <c r="B17" s="20"/>
      <c r="C17" s="20">
        <f>COUNT(C21:C2188)</f>
        <v>45</v>
      </c>
      <c r="E17" s="26" t="s">
        <v>52</v>
      </c>
      <c r="F17" s="27">
        <f>ROUND(2*(F16-$C$7)/$C$8,0)/2+F15</f>
        <v>33964.5</v>
      </c>
    </row>
    <row r="18" spans="1:6" ht="14.25" thickBot="1" thickTop="1">
      <c r="A18" s="28" t="s">
        <v>6</v>
      </c>
      <c r="B18" s="20"/>
      <c r="C18" s="30">
        <f>+C15</f>
        <v>58045.59356539295</v>
      </c>
      <c r="D18" s="31">
        <f>+C16</f>
        <v>0.7989223683889173</v>
      </c>
      <c r="E18" s="26" t="s">
        <v>44</v>
      </c>
      <c r="F18" s="18">
        <f>ROUND(2*(F16-$C$15)/$C$16,0)/2+F15</f>
        <v>2325.5</v>
      </c>
    </row>
    <row r="19" spans="5:6" ht="13.5" thickTop="1">
      <c r="E19" s="26" t="s">
        <v>45</v>
      </c>
      <c r="F19" s="29">
        <f>+$C$15+$C$16*F18-15018.5-$C$5/24</f>
        <v>44885.38336641471</v>
      </c>
    </row>
    <row r="20" spans="1:17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63</v>
      </c>
      <c r="I20" s="10" t="s">
        <v>66</v>
      </c>
      <c r="J20" s="10" t="s">
        <v>60</v>
      </c>
      <c r="K20" s="10" t="s">
        <v>58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</row>
    <row r="21" spans="1:17" ht="12.75">
      <c r="A21" s="60" t="s">
        <v>72</v>
      </c>
      <c r="B21" s="61" t="s">
        <v>48</v>
      </c>
      <c r="C21" s="60">
        <v>32768.497</v>
      </c>
      <c r="E21" s="34">
        <f aca="true" t="shared" si="0" ref="E21:E63">+(C21-C$7)/C$8</f>
        <v>-0.02253025456443052</v>
      </c>
      <c r="F21">
        <f aca="true" t="shared" si="1" ref="F21:F64">ROUND(2*E21,0)/2</f>
        <v>0</v>
      </c>
      <c r="G21">
        <f aca="true" t="shared" si="2" ref="G21:G63">+C21-(C$7+F21*C$8)</f>
        <v>-0.017999999996391125</v>
      </c>
      <c r="I21">
        <f aca="true" t="shared" si="3" ref="I21:I26">G21</f>
        <v>-0.017999999996391125</v>
      </c>
      <c r="O21">
        <f aca="true" t="shared" si="4" ref="O21:O63">+C$11+C$12*F21</f>
        <v>-0.0262480640068692</v>
      </c>
      <c r="Q21" s="2">
        <f aca="true" t="shared" si="5" ref="Q21:Q63">+C21-15018.5</f>
        <v>17749.997000000003</v>
      </c>
    </row>
    <row r="22" spans="1:17" ht="12.75">
      <c r="A22" s="34" t="s">
        <v>13</v>
      </c>
      <c r="B22" s="34"/>
      <c r="C22" s="35">
        <v>32768.515</v>
      </c>
      <c r="D22" s="35" t="s">
        <v>15</v>
      </c>
      <c r="E22">
        <f t="shared" si="0"/>
        <v>0</v>
      </c>
      <c r="F22">
        <f t="shared" si="1"/>
        <v>0</v>
      </c>
      <c r="G22">
        <f t="shared" si="2"/>
        <v>0</v>
      </c>
      <c r="I22">
        <f t="shared" si="3"/>
        <v>0</v>
      </c>
      <c r="O22">
        <f t="shared" si="4"/>
        <v>-0.0262480640068692</v>
      </c>
      <c r="Q22" s="2">
        <f t="shared" si="5"/>
        <v>17750.015</v>
      </c>
    </row>
    <row r="23" spans="1:17" ht="12.75">
      <c r="A23" s="60" t="s">
        <v>72</v>
      </c>
      <c r="B23" s="61" t="s">
        <v>48</v>
      </c>
      <c r="C23" s="60">
        <v>32936.293</v>
      </c>
      <c r="E23" s="34">
        <f t="shared" si="0"/>
        <v>210.00450283715935</v>
      </c>
      <c r="F23">
        <f t="shared" si="1"/>
        <v>210</v>
      </c>
      <c r="G23">
        <f t="shared" si="2"/>
        <v>0.0035974324491689913</v>
      </c>
      <c r="I23">
        <f t="shared" si="3"/>
        <v>0.0035974324491689913</v>
      </c>
      <c r="O23">
        <f t="shared" si="4"/>
        <v>-0.02695326988378184</v>
      </c>
      <c r="Q23" s="2">
        <f t="shared" si="5"/>
        <v>17917.792999999998</v>
      </c>
    </row>
    <row r="24" spans="1:17" ht="12.75">
      <c r="A24" s="60" t="s">
        <v>72</v>
      </c>
      <c r="B24" s="61" t="s">
        <v>48</v>
      </c>
      <c r="C24" s="60">
        <v>33186.34</v>
      </c>
      <c r="E24" s="34">
        <f t="shared" si="0"/>
        <v>522.9835341816944</v>
      </c>
      <c r="F24">
        <f t="shared" si="1"/>
        <v>523</v>
      </c>
      <c r="G24">
        <f t="shared" si="2"/>
        <v>-0.013154965854482725</v>
      </c>
      <c r="I24">
        <f t="shared" si="3"/>
        <v>-0.013154965854482725</v>
      </c>
      <c r="O24">
        <f t="shared" si="4"/>
        <v>-0.028004362452704015</v>
      </c>
      <c r="Q24" s="2">
        <f t="shared" si="5"/>
        <v>18167.839999999997</v>
      </c>
    </row>
    <row r="25" spans="1:17" ht="12.75">
      <c r="A25" s="60" t="s">
        <v>72</v>
      </c>
      <c r="B25" s="61" t="s">
        <v>48</v>
      </c>
      <c r="C25" s="60">
        <v>33511.47</v>
      </c>
      <c r="E25" s="34">
        <f t="shared" si="0"/>
        <v>929.9425157373645</v>
      </c>
      <c r="F25">
        <f t="shared" si="1"/>
        <v>930</v>
      </c>
      <c r="G25">
        <f t="shared" si="2"/>
        <v>-0.045925656289909966</v>
      </c>
      <c r="I25">
        <f t="shared" si="3"/>
        <v>-0.045925656289909966</v>
      </c>
      <c r="O25">
        <f t="shared" si="4"/>
        <v>-0.029371118604625178</v>
      </c>
      <c r="Q25" s="2">
        <f t="shared" si="5"/>
        <v>18492.97</v>
      </c>
    </row>
    <row r="26" spans="1:17" ht="12.75">
      <c r="A26" s="60" t="s">
        <v>72</v>
      </c>
      <c r="B26" s="61" t="s">
        <v>48</v>
      </c>
      <c r="C26" s="60">
        <v>34298.36</v>
      </c>
      <c r="E26" s="34">
        <f t="shared" si="0"/>
        <v>1914.8776278350992</v>
      </c>
      <c r="F26">
        <f t="shared" si="1"/>
        <v>1915</v>
      </c>
      <c r="G26">
        <f t="shared" si="2"/>
        <v>-0.0977662707446143</v>
      </c>
      <c r="I26">
        <f t="shared" si="3"/>
        <v>-0.0977662707446143</v>
      </c>
      <c r="O26">
        <f t="shared" si="4"/>
        <v>-0.0326788699796678</v>
      </c>
      <c r="Q26" s="2">
        <f t="shared" si="5"/>
        <v>19279.86</v>
      </c>
    </row>
    <row r="27" spans="1:17" ht="12.75">
      <c r="A27" s="36" t="s">
        <v>47</v>
      </c>
      <c r="B27" s="37" t="s">
        <v>48</v>
      </c>
      <c r="C27" s="36">
        <v>51780.4439</v>
      </c>
      <c r="D27" s="36">
        <v>0.0006</v>
      </c>
      <c r="E27">
        <f t="shared" si="0"/>
        <v>23796.86655354074</v>
      </c>
      <c r="F27">
        <f t="shared" si="1"/>
        <v>23797</v>
      </c>
      <c r="G27">
        <f t="shared" si="2"/>
        <v>-0.10661380941746756</v>
      </c>
      <c r="J27">
        <f aca="true" t="shared" si="6" ref="J27:J32">G27</f>
        <v>-0.10661380941746756</v>
      </c>
      <c r="O27">
        <f t="shared" si="4"/>
        <v>-0.1061613223539649</v>
      </c>
      <c r="Q27" s="2">
        <f t="shared" si="5"/>
        <v>36761.9439</v>
      </c>
    </row>
    <row r="28" spans="1:17" ht="12.75">
      <c r="A28" s="38" t="s">
        <v>47</v>
      </c>
      <c r="B28" s="39" t="s">
        <v>48</v>
      </c>
      <c r="C28" s="38">
        <v>51780.4439</v>
      </c>
      <c r="D28" s="38">
        <v>0.0006</v>
      </c>
      <c r="E28">
        <f t="shared" si="0"/>
        <v>23796.86655354074</v>
      </c>
      <c r="F28">
        <f t="shared" si="1"/>
        <v>23797</v>
      </c>
      <c r="G28">
        <f t="shared" si="2"/>
        <v>-0.10661380941746756</v>
      </c>
      <c r="J28">
        <f t="shared" si="6"/>
        <v>-0.10661380941746756</v>
      </c>
      <c r="O28">
        <f t="shared" si="4"/>
        <v>-0.1061613223539649</v>
      </c>
      <c r="Q28" s="2">
        <f t="shared" si="5"/>
        <v>36761.9439</v>
      </c>
    </row>
    <row r="29" spans="1:17" ht="12.75">
      <c r="A29" s="38" t="s">
        <v>47</v>
      </c>
      <c r="B29" s="39" t="s">
        <v>48</v>
      </c>
      <c r="C29" s="38">
        <v>51786.4459</v>
      </c>
      <c r="D29" s="38">
        <v>0.0045</v>
      </c>
      <c r="E29">
        <f t="shared" si="0"/>
        <v>23804.379141758676</v>
      </c>
      <c r="F29">
        <f t="shared" si="1"/>
        <v>23804.5</v>
      </c>
      <c r="G29">
        <f t="shared" si="2"/>
        <v>-0.09655675825342769</v>
      </c>
      <c r="J29">
        <f t="shared" si="6"/>
        <v>-0.09655675825342769</v>
      </c>
      <c r="O29">
        <f t="shared" si="4"/>
        <v>-0.10618650827814036</v>
      </c>
      <c r="Q29" s="2">
        <f t="shared" si="5"/>
        <v>36767.9459</v>
      </c>
    </row>
    <row r="30" spans="1:17" ht="12.75">
      <c r="A30" s="38" t="s">
        <v>47</v>
      </c>
      <c r="B30" s="39" t="s">
        <v>48</v>
      </c>
      <c r="C30" s="38">
        <v>51814.4</v>
      </c>
      <c r="D30" s="38">
        <v>0.01</v>
      </c>
      <c r="E30">
        <f t="shared" si="0"/>
        <v>23839.368752272338</v>
      </c>
      <c r="F30">
        <f t="shared" si="1"/>
        <v>23839.5</v>
      </c>
      <c r="G30">
        <f t="shared" si="2"/>
        <v>-0.10485718617564999</v>
      </c>
      <c r="J30">
        <f t="shared" si="6"/>
        <v>-0.10485718617564999</v>
      </c>
      <c r="O30">
        <f t="shared" si="4"/>
        <v>-0.10630404259095913</v>
      </c>
      <c r="Q30" s="2">
        <f t="shared" si="5"/>
        <v>36795.9</v>
      </c>
    </row>
    <row r="31" spans="1:17" ht="12.75">
      <c r="A31" s="38" t="s">
        <v>47</v>
      </c>
      <c r="B31" s="39" t="s">
        <v>48</v>
      </c>
      <c r="C31" s="38">
        <v>51816.3977</v>
      </c>
      <c r="D31" s="38">
        <v>0.0018</v>
      </c>
      <c r="E31">
        <f t="shared" si="0"/>
        <v>23841.86923502525</v>
      </c>
      <c r="F31">
        <f t="shared" si="1"/>
        <v>23842</v>
      </c>
      <c r="G31">
        <f t="shared" si="2"/>
        <v>-0.10447150245454395</v>
      </c>
      <c r="J31">
        <f t="shared" si="6"/>
        <v>-0.10447150245454395</v>
      </c>
      <c r="O31">
        <f t="shared" si="4"/>
        <v>-0.1063124378990176</v>
      </c>
      <c r="Q31" s="2">
        <f t="shared" si="5"/>
        <v>36797.8977</v>
      </c>
    </row>
    <row r="32" spans="1:17" ht="12.75">
      <c r="A32" s="38" t="s">
        <v>47</v>
      </c>
      <c r="B32" s="39" t="s">
        <v>48</v>
      </c>
      <c r="C32" s="40">
        <v>52133.563</v>
      </c>
      <c r="D32" s="38">
        <v>0.003</v>
      </c>
      <c r="E32">
        <f t="shared" si="0"/>
        <v>24238.858954438398</v>
      </c>
      <c r="F32">
        <f t="shared" si="1"/>
        <v>24239</v>
      </c>
      <c r="G32">
        <f t="shared" si="2"/>
        <v>-0.11268492777162464</v>
      </c>
      <c r="J32">
        <f t="shared" si="6"/>
        <v>-0.11268492777162464</v>
      </c>
      <c r="O32">
        <f t="shared" si="4"/>
        <v>-0.10764561281870484</v>
      </c>
      <c r="Q32" s="2">
        <f t="shared" si="5"/>
        <v>37115.063</v>
      </c>
    </row>
    <row r="33" spans="1:17" ht="12.75">
      <c r="A33" s="34" t="s">
        <v>32</v>
      </c>
      <c r="B33" s="34"/>
      <c r="C33" s="35">
        <v>52503.4622</v>
      </c>
      <c r="D33" s="35">
        <v>0.0019</v>
      </c>
      <c r="E33">
        <f t="shared" si="0"/>
        <v>24701.854684485625</v>
      </c>
      <c r="F33">
        <f t="shared" si="1"/>
        <v>24702</v>
      </c>
      <c r="G33">
        <f t="shared" si="2"/>
        <v>-0.11609630289603956</v>
      </c>
      <c r="J33">
        <f>G33</f>
        <v>-0.11609630289603956</v>
      </c>
      <c r="O33">
        <f t="shared" si="4"/>
        <v>-0.10920042387113604</v>
      </c>
      <c r="Q33" s="2">
        <f t="shared" si="5"/>
        <v>37484.9622</v>
      </c>
    </row>
    <row r="34" spans="1:17" ht="12.75">
      <c r="A34" s="34" t="s">
        <v>32</v>
      </c>
      <c r="B34" s="34"/>
      <c r="C34" s="35">
        <v>52621.309</v>
      </c>
      <c r="D34" s="35">
        <v>0.0036</v>
      </c>
      <c r="E34">
        <f t="shared" si="0"/>
        <v>24849.36126249317</v>
      </c>
      <c r="F34">
        <f t="shared" si="1"/>
        <v>24849.5</v>
      </c>
      <c r="G34">
        <f t="shared" si="2"/>
        <v>-0.11084096343984129</v>
      </c>
      <c r="J34">
        <f>G34</f>
        <v>-0.11084096343984129</v>
      </c>
      <c r="O34">
        <f t="shared" si="4"/>
        <v>-0.10969574704658659</v>
      </c>
      <c r="Q34" s="2">
        <f t="shared" si="5"/>
        <v>37602.809</v>
      </c>
    </row>
    <row r="35" spans="1:17" ht="12.75">
      <c r="A35" s="36" t="s">
        <v>49</v>
      </c>
      <c r="B35" s="37" t="s">
        <v>48</v>
      </c>
      <c r="C35" s="41">
        <v>52967.642</v>
      </c>
      <c r="D35" s="42">
        <v>0.002</v>
      </c>
      <c r="E35">
        <f t="shared" si="0"/>
        <v>25282.859632250245</v>
      </c>
      <c r="F35">
        <f t="shared" si="1"/>
        <v>25283</v>
      </c>
      <c r="G35">
        <f t="shared" si="2"/>
        <v>-0.11214340644801268</v>
      </c>
      <c r="K35">
        <f>G35</f>
        <v>-0.11214340644801268</v>
      </c>
      <c r="O35">
        <f t="shared" si="4"/>
        <v>-0.11115149346392768</v>
      </c>
      <c r="Q35" s="2">
        <f t="shared" si="5"/>
        <v>37949.142</v>
      </c>
    </row>
    <row r="36" spans="1:17" ht="12.75">
      <c r="A36" s="43" t="s">
        <v>36</v>
      </c>
      <c r="B36" s="37"/>
      <c r="C36" s="35">
        <v>53226.4903</v>
      </c>
      <c r="D36" s="35">
        <v>0.0015</v>
      </c>
      <c r="E36">
        <f t="shared" si="0"/>
        <v>25606.855081902428</v>
      </c>
      <c r="F36">
        <f t="shared" si="1"/>
        <v>25607</v>
      </c>
      <c r="G36">
        <f t="shared" si="2"/>
        <v>-0.11577879638934974</v>
      </c>
      <c r="J36">
        <f aca="true" t="shared" si="7" ref="J36:J41">G36</f>
        <v>-0.11577879638934974</v>
      </c>
      <c r="O36">
        <f t="shared" si="4"/>
        <v>-0.11223952538830718</v>
      </c>
      <c r="Q36" s="2">
        <f t="shared" si="5"/>
        <v>38207.9903</v>
      </c>
    </row>
    <row r="37" spans="1:17" ht="12.75">
      <c r="A37" s="15" t="s">
        <v>36</v>
      </c>
      <c r="B37" s="16"/>
      <c r="C37" s="17">
        <v>53242.4652</v>
      </c>
      <c r="D37" s="17">
        <v>0.002</v>
      </c>
      <c r="E37">
        <f t="shared" si="0"/>
        <v>25626.85055766429</v>
      </c>
      <c r="F37">
        <f t="shared" si="1"/>
        <v>25627</v>
      </c>
      <c r="G37">
        <f t="shared" si="2"/>
        <v>-0.11939332662586821</v>
      </c>
      <c r="J37">
        <f t="shared" si="7"/>
        <v>-0.11939332662586821</v>
      </c>
      <c r="O37">
        <f t="shared" si="4"/>
        <v>-0.11230668785277505</v>
      </c>
      <c r="Q37" s="2">
        <f t="shared" si="5"/>
        <v>38223.9652</v>
      </c>
    </row>
    <row r="38" spans="1:17" ht="12.75">
      <c r="A38" s="15" t="s">
        <v>36</v>
      </c>
      <c r="B38" s="16"/>
      <c r="C38" s="17">
        <v>53250.4567</v>
      </c>
      <c r="D38" s="17">
        <v>0.0001</v>
      </c>
      <c r="E38">
        <f t="shared" si="0"/>
        <v>25636.8533648525</v>
      </c>
      <c r="F38">
        <f t="shared" si="1"/>
        <v>25637</v>
      </c>
      <c r="G38">
        <f t="shared" si="2"/>
        <v>-0.11715059175185161</v>
      </c>
      <c r="J38">
        <f t="shared" si="7"/>
        <v>-0.11715059175185161</v>
      </c>
      <c r="O38">
        <f t="shared" si="4"/>
        <v>-0.11234026908500899</v>
      </c>
      <c r="Q38" s="2">
        <f t="shared" si="5"/>
        <v>38231.9567</v>
      </c>
    </row>
    <row r="39" spans="1:17" ht="12.75">
      <c r="A39" s="15" t="s">
        <v>36</v>
      </c>
      <c r="B39" s="16"/>
      <c r="C39" s="17">
        <v>53256.4572</v>
      </c>
      <c r="D39" s="17">
        <v>0.0042</v>
      </c>
      <c r="E39">
        <f t="shared" si="0"/>
        <v>25644.364075549216</v>
      </c>
      <c r="F39">
        <f t="shared" si="1"/>
        <v>25644.5</v>
      </c>
      <c r="G39">
        <f t="shared" si="2"/>
        <v>-0.10859354059357429</v>
      </c>
      <c r="J39">
        <f t="shared" si="7"/>
        <v>-0.10859354059357429</v>
      </c>
      <c r="O39">
        <f t="shared" si="4"/>
        <v>-0.11236545500918443</v>
      </c>
      <c r="Q39" s="2">
        <f t="shared" si="5"/>
        <v>38237.9572</v>
      </c>
    </row>
    <row r="40" spans="1:17" ht="12.75">
      <c r="A40" s="15" t="s">
        <v>36</v>
      </c>
      <c r="B40" s="16"/>
      <c r="C40" s="17">
        <v>53284.4188</v>
      </c>
      <c r="D40" s="17">
        <v>0.0047</v>
      </c>
      <c r="E40">
        <f t="shared" si="0"/>
        <v>25679.363073668945</v>
      </c>
      <c r="F40">
        <f t="shared" si="1"/>
        <v>25679.5</v>
      </c>
      <c r="G40">
        <f t="shared" si="2"/>
        <v>-0.10939396851608763</v>
      </c>
      <c r="J40">
        <f t="shared" si="7"/>
        <v>-0.10939396851608763</v>
      </c>
      <c r="O40">
        <f t="shared" si="4"/>
        <v>-0.11248298932200321</v>
      </c>
      <c r="Q40" s="2">
        <f t="shared" si="5"/>
        <v>38265.9188</v>
      </c>
    </row>
    <row r="41" spans="1:17" ht="12.75">
      <c r="A41" s="44" t="s">
        <v>39</v>
      </c>
      <c r="B41" s="45"/>
      <c r="C41" s="35">
        <v>53653.5105</v>
      </c>
      <c r="D41" s="35">
        <v>0.0027</v>
      </c>
      <c r="E41" s="34">
        <f t="shared" si="0"/>
        <v>26141.34807146259</v>
      </c>
      <c r="F41">
        <f t="shared" si="1"/>
        <v>26141.5</v>
      </c>
      <c r="G41">
        <f t="shared" si="2"/>
        <v>-0.12137961712869583</v>
      </c>
      <c r="J41">
        <f t="shared" si="7"/>
        <v>-0.12137961712869583</v>
      </c>
      <c r="O41">
        <f t="shared" si="4"/>
        <v>-0.11403444225121102</v>
      </c>
      <c r="Q41" s="2">
        <f t="shared" si="5"/>
        <v>38635.0105</v>
      </c>
    </row>
    <row r="42" spans="1:17" ht="12.75">
      <c r="A42" s="60" t="s">
        <v>151</v>
      </c>
      <c r="B42" s="61" t="s">
        <v>48</v>
      </c>
      <c r="C42" s="60">
        <v>54738.4644</v>
      </c>
      <c r="E42" s="34">
        <f t="shared" si="0"/>
        <v>27499.364047161067</v>
      </c>
      <c r="F42">
        <f t="shared" si="1"/>
        <v>27499.5</v>
      </c>
      <c r="G42">
        <f t="shared" si="2"/>
        <v>-0.10861622061929666</v>
      </c>
      <c r="K42">
        <f aca="true" t="shared" si="8" ref="K42:K48">G42</f>
        <v>-0.10861622061929666</v>
      </c>
      <c r="O42">
        <f t="shared" si="4"/>
        <v>-0.11859477358857942</v>
      </c>
      <c r="Q42" s="2">
        <f t="shared" si="5"/>
        <v>39719.9644</v>
      </c>
    </row>
    <row r="43" spans="1:17" ht="12.75">
      <c r="A43" s="60" t="s">
        <v>151</v>
      </c>
      <c r="B43" s="61" t="s">
        <v>48</v>
      </c>
      <c r="C43" s="60">
        <v>54798.3731</v>
      </c>
      <c r="E43" s="34">
        <f t="shared" si="0"/>
        <v>27574.35061726633</v>
      </c>
      <c r="F43">
        <f t="shared" si="1"/>
        <v>27574.5</v>
      </c>
      <c r="G43">
        <f t="shared" si="2"/>
        <v>-0.11934570902667474</v>
      </c>
      <c r="K43">
        <f t="shared" si="8"/>
        <v>-0.11934570902667474</v>
      </c>
      <c r="O43">
        <f t="shared" si="4"/>
        <v>-0.11884663283033395</v>
      </c>
      <c r="Q43" s="2">
        <f t="shared" si="5"/>
        <v>39779.8731</v>
      </c>
    </row>
    <row r="44" spans="1:17" ht="12.75">
      <c r="A44" s="60" t="s">
        <v>160</v>
      </c>
      <c r="B44" s="61" t="s">
        <v>220</v>
      </c>
      <c r="C44" s="60">
        <v>55050.4316</v>
      </c>
      <c r="E44" s="34">
        <f t="shared" si="0"/>
        <v>27889.847404558954</v>
      </c>
      <c r="F44">
        <f t="shared" si="1"/>
        <v>27890</v>
      </c>
      <c r="G44">
        <f t="shared" si="2"/>
        <v>-0.12191242360131582</v>
      </c>
      <c r="K44">
        <f t="shared" si="8"/>
        <v>-0.12191242360131582</v>
      </c>
      <c r="O44">
        <f t="shared" si="4"/>
        <v>-0.1199061207073146</v>
      </c>
      <c r="Q44" s="2">
        <f t="shared" si="5"/>
        <v>40031.9316</v>
      </c>
    </row>
    <row r="45" spans="1:17" ht="12.75">
      <c r="A45" s="60" t="s">
        <v>160</v>
      </c>
      <c r="B45" s="61" t="s">
        <v>220</v>
      </c>
      <c r="C45" s="60">
        <v>55058.4206</v>
      </c>
      <c r="E45" s="34">
        <f t="shared" si="0"/>
        <v>27899.847082545133</v>
      </c>
      <c r="F45">
        <f t="shared" si="1"/>
        <v>27900</v>
      </c>
      <c r="G45">
        <f t="shared" si="2"/>
        <v>-0.12216968872235157</v>
      </c>
      <c r="K45">
        <f t="shared" si="8"/>
        <v>-0.12216968872235157</v>
      </c>
      <c r="O45">
        <f t="shared" si="4"/>
        <v>-0.11993970193954853</v>
      </c>
      <c r="Q45" s="2">
        <f t="shared" si="5"/>
        <v>40039.9206</v>
      </c>
    </row>
    <row r="46" spans="1:17" ht="12.75">
      <c r="A46" s="60" t="s">
        <v>160</v>
      </c>
      <c r="B46" s="61" t="s">
        <v>220</v>
      </c>
      <c r="C46" s="60">
        <v>55062.4149</v>
      </c>
      <c r="E46" s="34">
        <f t="shared" si="0"/>
        <v>27904.84667120207</v>
      </c>
      <c r="F46">
        <f t="shared" si="1"/>
        <v>27905</v>
      </c>
      <c r="G46">
        <f t="shared" si="2"/>
        <v>-0.12249832128145499</v>
      </c>
      <c r="K46">
        <f t="shared" si="8"/>
        <v>-0.12249832128145499</v>
      </c>
      <c r="O46">
        <f t="shared" si="4"/>
        <v>-0.1199564925556655</v>
      </c>
      <c r="Q46" s="2">
        <f t="shared" si="5"/>
        <v>40043.9149</v>
      </c>
    </row>
    <row r="47" spans="1:17" ht="12.75">
      <c r="A47" s="46" t="s">
        <v>50</v>
      </c>
      <c r="B47" s="34"/>
      <c r="C47" s="35">
        <v>55062.815</v>
      </c>
      <c r="D47" s="35">
        <v>0.001</v>
      </c>
      <c r="E47" s="34">
        <f t="shared" si="0"/>
        <v>27905.347468693904</v>
      </c>
      <c r="F47">
        <f t="shared" si="1"/>
        <v>27905.5</v>
      </c>
      <c r="G47">
        <f t="shared" si="2"/>
        <v>-0.12186118453973904</v>
      </c>
      <c r="K47">
        <f t="shared" si="8"/>
        <v>-0.12186118453973904</v>
      </c>
      <c r="O47">
        <f t="shared" si="4"/>
        <v>-0.1199581716172772</v>
      </c>
      <c r="Q47" s="2">
        <f t="shared" si="5"/>
        <v>40044.315</v>
      </c>
    </row>
    <row r="48" spans="1:17" ht="12.75">
      <c r="A48" s="60" t="s">
        <v>160</v>
      </c>
      <c r="B48" s="61" t="s">
        <v>220</v>
      </c>
      <c r="C48" s="60">
        <v>55141.5086</v>
      </c>
      <c r="E48" s="34">
        <f t="shared" si="0"/>
        <v>28003.8467376354</v>
      </c>
      <c r="F48">
        <f t="shared" si="1"/>
        <v>28004</v>
      </c>
      <c r="G48">
        <f t="shared" si="2"/>
        <v>-0.12244524598645512</v>
      </c>
      <c r="K48">
        <f t="shared" si="8"/>
        <v>-0.12244524598645512</v>
      </c>
      <c r="O48">
        <f t="shared" si="4"/>
        <v>-0.12028894675478145</v>
      </c>
      <c r="Q48" s="2">
        <f t="shared" si="5"/>
        <v>40123.0086</v>
      </c>
    </row>
    <row r="49" spans="1:17" ht="12.75">
      <c r="A49" s="62" t="s">
        <v>54</v>
      </c>
      <c r="B49" s="62"/>
      <c r="C49" s="63">
        <v>55451.4918</v>
      </c>
      <c r="D49" s="63">
        <v>0.0078</v>
      </c>
      <c r="E49" s="64">
        <f t="shared" si="0"/>
        <v>28391.84676030746</v>
      </c>
      <c r="F49">
        <f t="shared" si="1"/>
        <v>28392</v>
      </c>
      <c r="G49">
        <f t="shared" si="2"/>
        <v>-0.12242713269370142</v>
      </c>
      <c r="J49">
        <f>G49</f>
        <v>-0.12242713269370142</v>
      </c>
      <c r="O49">
        <f t="shared" si="4"/>
        <v>-0.12159189856545814</v>
      </c>
      <c r="Q49" s="2">
        <f t="shared" si="5"/>
        <v>40432.9918</v>
      </c>
    </row>
    <row r="50" spans="1:17" ht="12.75">
      <c r="A50" s="62" t="s">
        <v>54</v>
      </c>
      <c r="B50" s="62"/>
      <c r="C50" s="63">
        <v>55463.4758</v>
      </c>
      <c r="D50" s="63">
        <v>0.0091</v>
      </c>
      <c r="E50" s="64">
        <f t="shared" si="0"/>
        <v>28406.846903127138</v>
      </c>
      <c r="F50">
        <f t="shared" si="1"/>
        <v>28407</v>
      </c>
      <c r="G50">
        <f t="shared" si="2"/>
        <v>-0.12231303038424812</v>
      </c>
      <c r="J50">
        <f>G50</f>
        <v>-0.12231303038424812</v>
      </c>
      <c r="O50">
        <f t="shared" si="4"/>
        <v>-0.12164227041380905</v>
      </c>
      <c r="Q50" s="2">
        <f t="shared" si="5"/>
        <v>40444.9758</v>
      </c>
    </row>
    <row r="51" spans="1:17" ht="12.75">
      <c r="A51" s="63" t="s">
        <v>193</v>
      </c>
      <c r="B51" s="65" t="s">
        <v>48</v>
      </c>
      <c r="C51" s="63">
        <v>55815.4039</v>
      </c>
      <c r="D51" s="64"/>
      <c r="E51" s="64">
        <f t="shared" si="0"/>
        <v>28847.348552180803</v>
      </c>
      <c r="F51">
        <f t="shared" si="1"/>
        <v>28847.5</v>
      </c>
      <c r="G51">
        <f t="shared" si="2"/>
        <v>-0.12099555898021208</v>
      </c>
      <c r="K51">
        <f>G51</f>
        <v>-0.12099555898021208</v>
      </c>
      <c r="O51">
        <f t="shared" si="4"/>
        <v>-0.1231215236937139</v>
      </c>
      <c r="Q51" s="2">
        <f t="shared" si="5"/>
        <v>40796.9039</v>
      </c>
    </row>
    <row r="52" spans="1:17" ht="12.75">
      <c r="A52" s="63" t="s">
        <v>193</v>
      </c>
      <c r="B52" s="65" t="s">
        <v>220</v>
      </c>
      <c r="C52" s="63">
        <v>55849.3554</v>
      </c>
      <c r="D52" s="64"/>
      <c r="E52" s="64">
        <f t="shared" si="0"/>
        <v>28889.844993180675</v>
      </c>
      <c r="F52">
        <f t="shared" si="1"/>
        <v>28890</v>
      </c>
      <c r="G52">
        <f t="shared" si="2"/>
        <v>-0.12383893574588001</v>
      </c>
      <c r="K52">
        <f>G52</f>
        <v>-0.12383893574588001</v>
      </c>
      <c r="O52">
        <f t="shared" si="4"/>
        <v>-0.12326424393070812</v>
      </c>
      <c r="Q52" s="2">
        <f t="shared" si="5"/>
        <v>40830.8554</v>
      </c>
    </row>
    <row r="53" spans="1:17" ht="12.75">
      <c r="A53" s="63" t="s">
        <v>193</v>
      </c>
      <c r="B53" s="65" t="s">
        <v>48</v>
      </c>
      <c r="C53" s="63">
        <v>55851.358</v>
      </c>
      <c r="D53" s="64"/>
      <c r="E53" s="64">
        <f t="shared" si="0"/>
        <v>28892.351609169553</v>
      </c>
      <c r="F53">
        <f t="shared" si="1"/>
        <v>28892.5</v>
      </c>
      <c r="G53">
        <f t="shared" si="2"/>
        <v>-0.1185532520248671</v>
      </c>
      <c r="K53">
        <f>G53</f>
        <v>-0.1185532520248671</v>
      </c>
      <c r="O53">
        <f t="shared" si="4"/>
        <v>-0.12327263923876661</v>
      </c>
      <c r="Q53" s="2">
        <f t="shared" si="5"/>
        <v>40832.858</v>
      </c>
    </row>
    <row r="54" spans="1:17" ht="12.75">
      <c r="A54" s="66" t="s">
        <v>53</v>
      </c>
      <c r="B54" s="67" t="s">
        <v>48</v>
      </c>
      <c r="C54" s="63">
        <v>56568.3878</v>
      </c>
      <c r="D54" s="68">
        <v>0.0056</v>
      </c>
      <c r="E54" s="64">
        <f t="shared" si="0"/>
        <v>29789.844049587417</v>
      </c>
      <c r="F54">
        <f t="shared" si="1"/>
        <v>29790</v>
      </c>
      <c r="G54">
        <f t="shared" si="2"/>
        <v>-0.12459279667382361</v>
      </c>
      <c r="J54">
        <f>G54</f>
        <v>-0.12459279667382361</v>
      </c>
      <c r="O54">
        <f t="shared" si="4"/>
        <v>-0.1262865548317623</v>
      </c>
      <c r="Q54" s="2">
        <f t="shared" si="5"/>
        <v>41549.8878</v>
      </c>
    </row>
    <row r="55" spans="1:17" ht="12.75">
      <c r="A55" s="66" t="s">
        <v>53</v>
      </c>
      <c r="B55" s="67" t="s">
        <v>48</v>
      </c>
      <c r="C55" s="63">
        <v>56600.3425</v>
      </c>
      <c r="D55" s="68">
        <v>0.0047</v>
      </c>
      <c r="E55" s="64">
        <f t="shared" si="0"/>
        <v>29829.841134347105</v>
      </c>
      <c r="F55">
        <f t="shared" si="1"/>
        <v>29830</v>
      </c>
      <c r="G55">
        <f t="shared" si="2"/>
        <v>-0.12692185715422966</v>
      </c>
      <c r="J55">
        <f>G55</f>
        <v>-0.12692185715422966</v>
      </c>
      <c r="O55">
        <f t="shared" si="4"/>
        <v>-0.12642087976069805</v>
      </c>
      <c r="Q55" s="2">
        <f t="shared" si="5"/>
        <v>41581.8425</v>
      </c>
    </row>
    <row r="56" spans="1:17" ht="12.75">
      <c r="A56" s="68" t="s">
        <v>55</v>
      </c>
      <c r="B56" s="65"/>
      <c r="C56" s="68">
        <v>56934.2955</v>
      </c>
      <c r="D56" s="68">
        <v>0.0013</v>
      </c>
      <c r="E56" s="64">
        <f t="shared" si="0"/>
        <v>30247.843695683983</v>
      </c>
      <c r="F56">
        <f t="shared" si="1"/>
        <v>30248</v>
      </c>
      <c r="G56">
        <f t="shared" si="2"/>
        <v>-0.12487553922983352</v>
      </c>
      <c r="J56">
        <f>G56</f>
        <v>-0.12487553922983352</v>
      </c>
      <c r="O56">
        <f t="shared" si="4"/>
        <v>-0.12782457526807653</v>
      </c>
      <c r="Q56" s="2">
        <f t="shared" si="5"/>
        <v>41915.7955</v>
      </c>
    </row>
    <row r="57" spans="1:17" ht="12.75">
      <c r="A57" s="68" t="s">
        <v>55</v>
      </c>
      <c r="B57" s="65"/>
      <c r="C57" s="68">
        <v>56949.4765</v>
      </c>
      <c r="D57" s="68">
        <v>0.0043</v>
      </c>
      <c r="E57" s="64">
        <f t="shared" si="0"/>
        <v>30266.845462051268</v>
      </c>
      <c r="F57">
        <f t="shared" si="1"/>
        <v>30267</v>
      </c>
      <c r="G57">
        <f t="shared" si="2"/>
        <v>-0.12346434296341613</v>
      </c>
      <c r="J57">
        <f>G57</f>
        <v>-0.12346434296341613</v>
      </c>
      <c r="O57">
        <f t="shared" si="4"/>
        <v>-0.127888379609321</v>
      </c>
      <c r="Q57" s="2">
        <f t="shared" si="5"/>
        <v>41930.9765</v>
      </c>
    </row>
    <row r="58" spans="1:17" ht="12.75">
      <c r="A58" s="69" t="s">
        <v>221</v>
      </c>
      <c r="B58" s="70" t="s">
        <v>220</v>
      </c>
      <c r="C58" s="71">
        <v>57125.62418</v>
      </c>
      <c r="D58" s="71">
        <v>0.0008</v>
      </c>
      <c r="E58" s="64">
        <f t="shared" si="0"/>
        <v>30487.326132725135</v>
      </c>
      <c r="F58">
        <f t="shared" si="1"/>
        <v>30487.5</v>
      </c>
      <c r="G58">
        <f t="shared" si="2"/>
        <v>-0.13890703889046563</v>
      </c>
      <c r="K58">
        <f aca="true" t="shared" si="9" ref="K58:K63">G58</f>
        <v>-0.13890703889046563</v>
      </c>
      <c r="O58">
        <f t="shared" si="4"/>
        <v>-0.12862884578007927</v>
      </c>
      <c r="Q58" s="2">
        <f t="shared" si="5"/>
        <v>42107.12418</v>
      </c>
    </row>
    <row r="59" spans="1:17" ht="12.75">
      <c r="A59" s="72" t="s">
        <v>222</v>
      </c>
      <c r="B59" s="73" t="s">
        <v>220</v>
      </c>
      <c r="C59" s="74">
        <v>57259.8594</v>
      </c>
      <c r="D59" s="74">
        <v>0.001</v>
      </c>
      <c r="E59" s="64">
        <f t="shared" si="0"/>
        <v>30655.34578154284</v>
      </c>
      <c r="F59">
        <f t="shared" si="1"/>
        <v>30655.5</v>
      </c>
      <c r="G59">
        <f t="shared" si="2"/>
        <v>-0.12320909292611759</v>
      </c>
      <c r="K59">
        <f t="shared" si="9"/>
        <v>-0.12320909292611759</v>
      </c>
      <c r="O59">
        <f t="shared" si="4"/>
        <v>-0.1291930104816094</v>
      </c>
      <c r="Q59" s="2">
        <f t="shared" si="5"/>
        <v>42241.3594</v>
      </c>
    </row>
    <row r="60" spans="1:17" ht="12.75">
      <c r="A60" s="72" t="s">
        <v>222</v>
      </c>
      <c r="B60" s="73" t="s">
        <v>220</v>
      </c>
      <c r="C60" s="74">
        <v>57267.8461</v>
      </c>
      <c r="D60" s="74">
        <v>0.0009</v>
      </c>
      <c r="E60" s="64">
        <f t="shared" si="0"/>
        <v>30665.342580663168</v>
      </c>
      <c r="F60">
        <f t="shared" si="1"/>
        <v>30665.5</v>
      </c>
      <c r="G60">
        <f t="shared" si="2"/>
        <v>-0.1257663580472581</v>
      </c>
      <c r="K60">
        <f t="shared" si="9"/>
        <v>-0.1257663580472581</v>
      </c>
      <c r="O60">
        <f t="shared" si="4"/>
        <v>-0.12922659171384332</v>
      </c>
      <c r="Q60" s="2">
        <f t="shared" si="5"/>
        <v>42249.3461</v>
      </c>
    </row>
    <row r="61" spans="1:17" ht="12.75">
      <c r="A61" s="72" t="s">
        <v>222</v>
      </c>
      <c r="B61" s="73" t="s">
        <v>220</v>
      </c>
      <c r="C61" s="74">
        <v>57275.8346</v>
      </c>
      <c r="D61" s="74">
        <v>0.0031</v>
      </c>
      <c r="E61" s="64">
        <f t="shared" si="0"/>
        <v>30675.341632808944</v>
      </c>
      <c r="F61">
        <f t="shared" si="1"/>
        <v>30675.5</v>
      </c>
      <c r="G61">
        <f t="shared" si="2"/>
        <v>-0.1265236231702147</v>
      </c>
      <c r="K61">
        <f t="shared" si="9"/>
        <v>-0.1265236231702147</v>
      </c>
      <c r="O61">
        <f t="shared" si="4"/>
        <v>-0.12926017294607728</v>
      </c>
      <c r="Q61" s="2">
        <f t="shared" si="5"/>
        <v>42257.3346</v>
      </c>
    </row>
    <row r="62" spans="1:17" ht="12.75">
      <c r="A62" s="72" t="s">
        <v>222</v>
      </c>
      <c r="B62" s="73" t="s">
        <v>48</v>
      </c>
      <c r="C62" s="74">
        <v>57278.6275</v>
      </c>
      <c r="D62" s="74">
        <v>0.001</v>
      </c>
      <c r="E62" s="64">
        <f t="shared" si="0"/>
        <v>30678.83745214148</v>
      </c>
      <c r="F62">
        <f t="shared" si="1"/>
        <v>30679</v>
      </c>
      <c r="G62">
        <f t="shared" si="2"/>
        <v>-0.12986366596305743</v>
      </c>
      <c r="K62">
        <f t="shared" si="9"/>
        <v>-0.12986366596305743</v>
      </c>
      <c r="O62">
        <f t="shared" si="4"/>
        <v>-0.12927192637735913</v>
      </c>
      <c r="Q62" s="2">
        <f t="shared" si="5"/>
        <v>42260.1275</v>
      </c>
    </row>
    <row r="63" spans="1:17" ht="12.75">
      <c r="A63" s="72" t="s">
        <v>222</v>
      </c>
      <c r="B63" s="73" t="s">
        <v>220</v>
      </c>
      <c r="C63" s="74">
        <v>57283.8247</v>
      </c>
      <c r="D63" s="74">
        <v>0.0008</v>
      </c>
      <c r="E63" s="64">
        <f t="shared" si="0"/>
        <v>30685.342687644013</v>
      </c>
      <c r="F63">
        <f t="shared" si="1"/>
        <v>30685.5</v>
      </c>
      <c r="G63">
        <f t="shared" si="2"/>
        <v>-0.12568088828993496</v>
      </c>
      <c r="K63">
        <f t="shared" si="9"/>
        <v>-0.12568088828993496</v>
      </c>
      <c r="O63">
        <f t="shared" si="4"/>
        <v>-0.12929375417831118</v>
      </c>
      <c r="Q63" s="2">
        <f t="shared" si="5"/>
        <v>42265.3247</v>
      </c>
    </row>
    <row r="64" spans="1:17" ht="12.75">
      <c r="A64" s="75" t="s">
        <v>0</v>
      </c>
      <c r="B64" s="76" t="s">
        <v>48</v>
      </c>
      <c r="C64" s="77">
        <v>58018.4312</v>
      </c>
      <c r="D64" s="77">
        <v>0.0013</v>
      </c>
      <c r="E64" s="64">
        <f>+(C64-C$7)/C$8</f>
        <v>31604.835546144222</v>
      </c>
      <c r="F64">
        <f t="shared" si="1"/>
        <v>31605</v>
      </c>
      <c r="G64">
        <f>+C64-(C$7+F64*C$8)</f>
        <v>-0.13138641620753333</v>
      </c>
      <c r="K64">
        <f>G64</f>
        <v>-0.13138641620753333</v>
      </c>
      <c r="O64">
        <f>+C$11+C$12*F64</f>
        <v>-0.13238154848222156</v>
      </c>
      <c r="Q64" s="2">
        <f>+C64-15018.5</f>
        <v>42999.9312</v>
      </c>
    </row>
    <row r="65" spans="1:17" ht="12.75">
      <c r="A65" s="78" t="s">
        <v>223</v>
      </c>
      <c r="B65" s="79" t="s">
        <v>48</v>
      </c>
      <c r="C65" s="80">
        <v>58045.5954</v>
      </c>
      <c r="D65" s="80">
        <v>0.0007</v>
      </c>
      <c r="E65" s="64">
        <f>+(C65-C$7)/C$8</f>
        <v>31638.836453986543</v>
      </c>
      <c r="F65">
        <f>ROUND(2*E65,0)/2</f>
        <v>31639</v>
      </c>
      <c r="G65">
        <f>+C65-(C$7+F65*C$8)</f>
        <v>-0.1306611176187289</v>
      </c>
      <c r="K65">
        <f>G65</f>
        <v>-0.1306611176187289</v>
      </c>
      <c r="O65">
        <f>+C$11+C$12*F65</f>
        <v>-0.13249572467181692</v>
      </c>
      <c r="Q65" s="2">
        <f>+C65-15018.5</f>
        <v>43027.0954</v>
      </c>
    </row>
  </sheetData>
  <sheetProtection/>
  <protectedRanges>
    <protectedRange sqref="A65:D65" name="Range1"/>
  </protectedRanges>
  <hyperlinks>
    <hyperlink ref="H64049" r:id="rId1" display="http://vsolj.cetus-net.org/bulletin.html"/>
    <hyperlink ref="H64042" r:id="rId2" display="https://www.aavso.org/ejaavso"/>
    <hyperlink ref="I64049" r:id="rId3" display="http://vsolj.cetus-net.org/bulletin.html"/>
    <hyperlink ref="AQ57700" r:id="rId4" display="http://cdsbib.u-strasbg.fr/cgi-bin/cdsbib?1990RMxAA..21..381G"/>
    <hyperlink ref="H64046" r:id="rId5" display="https://www.aavso.org/ejaavso"/>
    <hyperlink ref="AP5064" r:id="rId6" display="http://cdsbib.u-strasbg.fr/cgi-bin/cdsbib?1990RMxAA..21..381G"/>
    <hyperlink ref="AP5067" r:id="rId7" display="http://cdsbib.u-strasbg.fr/cgi-bin/cdsbib?1990RMxAA..21..381G"/>
    <hyperlink ref="AP5065" r:id="rId8" display="http://cdsbib.u-strasbg.fr/cgi-bin/cdsbib?1990RMxAA..21..381G"/>
    <hyperlink ref="AP5049" r:id="rId9" display="http://cdsbib.u-strasbg.fr/cgi-bin/cdsbib?1990RMxAA..21..381G"/>
    <hyperlink ref="AQ5278" r:id="rId10" display="http://cdsbib.u-strasbg.fr/cgi-bin/cdsbib?1990RMxAA..21..381G"/>
    <hyperlink ref="AQ5282" r:id="rId11" display="http://cdsbib.u-strasbg.fr/cgi-bin/cdsbib?1990RMxAA..21..381G"/>
    <hyperlink ref="AQ64962" r:id="rId12" display="http://cdsbib.u-strasbg.fr/cgi-bin/cdsbib?1990RMxAA..21..381G"/>
    <hyperlink ref="I2170" r:id="rId13" display="http://vsolj.cetus-net.org/bulletin.html"/>
    <hyperlink ref="H2170" r:id="rId14" display="http://vsolj.cetus-net.org/bulletin.html"/>
    <hyperlink ref="AQ87" r:id="rId15" display="http://cdsbib.u-strasbg.fr/cgi-bin/cdsbib?1990RMxAA..21..381G"/>
    <hyperlink ref="AQ86" r:id="rId16" display="http://cdsbib.u-strasbg.fr/cgi-bin/cdsbib?1990RMxAA..21..381G"/>
    <hyperlink ref="AP3340" r:id="rId17" display="http://cdsbib.u-strasbg.fr/cgi-bin/cdsbib?1990RMxAA..21..381G"/>
    <hyperlink ref="AP3358" r:id="rId18" display="http://cdsbib.u-strasbg.fr/cgi-bin/cdsbib?1990RMxAA..21..381G"/>
    <hyperlink ref="AP3359" r:id="rId19" display="http://cdsbib.u-strasbg.fr/cgi-bin/cdsbib?1990RMxAA..21..381G"/>
    <hyperlink ref="AP3355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C1" sqref="C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34</v>
      </c>
      <c r="C1" s="19" t="s">
        <v>37</v>
      </c>
    </row>
    <row r="2" spans="1:2" ht="12.75">
      <c r="A2" t="s">
        <v>28</v>
      </c>
      <c r="B2" s="14" t="s">
        <v>35</v>
      </c>
    </row>
    <row r="4" spans="1:4" ht="12.75">
      <c r="A4" s="8" t="s">
        <v>1</v>
      </c>
      <c r="C4" s="3">
        <v>32768.515</v>
      </c>
      <c r="D4" s="4">
        <v>0.798878</v>
      </c>
    </row>
    <row r="6" ht="12.75">
      <c r="A6" s="8" t="s">
        <v>2</v>
      </c>
    </row>
    <row r="7" spans="1:3" ht="12.75">
      <c r="A7" t="s">
        <v>3</v>
      </c>
      <c r="C7">
        <f>+C4</f>
        <v>32768.515</v>
      </c>
    </row>
    <row r="8" spans="1:3" ht="12.75">
      <c r="A8" t="s">
        <v>4</v>
      </c>
      <c r="C8">
        <f>+D4</f>
        <v>0.798878</v>
      </c>
    </row>
    <row r="10" spans="3:4" ht="13.5" thickBot="1">
      <c r="C10" s="7" t="s">
        <v>23</v>
      </c>
      <c r="D10" s="7" t="s">
        <v>24</v>
      </c>
    </row>
    <row r="11" spans="1:4" ht="12.75">
      <c r="A11" t="s">
        <v>17</v>
      </c>
      <c r="C11">
        <f>INTERCEPT(G21:G93,F21:F93)</f>
        <v>-1.312281088371059</v>
      </c>
      <c r="D11" s="6"/>
    </row>
    <row r="12" spans="1:4" ht="12.75">
      <c r="A12" t="s">
        <v>18</v>
      </c>
      <c r="C12">
        <f>SLOPE(G21:G93,F21:F93)</f>
        <v>4.7726512140671794E-05</v>
      </c>
      <c r="D12" s="6"/>
    </row>
    <row r="13" spans="1:4" ht="12.75">
      <c r="A13" t="s">
        <v>22</v>
      </c>
      <c r="C13" s="6" t="s">
        <v>15</v>
      </c>
      <c r="D13" s="6"/>
    </row>
    <row r="14" ht="12.75">
      <c r="A14" t="s">
        <v>27</v>
      </c>
    </row>
    <row r="15" spans="1:3" ht="12.75">
      <c r="A15" s="5" t="s">
        <v>19</v>
      </c>
      <c r="C15" s="12">
        <f>(C7+C11)+(C8+C12)*INT(MAX(F21:F3533))</f>
        <v>53284.41430146991</v>
      </c>
    </row>
    <row r="16" spans="1:3" ht="12.75">
      <c r="A16" s="8" t="s">
        <v>5</v>
      </c>
      <c r="C16" s="13">
        <f>+C8+C12</f>
        <v>0.7989257265121407</v>
      </c>
    </row>
    <row r="17" ht="13.5" thickBot="1"/>
    <row r="18" spans="1:4" ht="12.75">
      <c r="A18" s="8" t="s">
        <v>6</v>
      </c>
      <c r="C18" s="3">
        <f>+C15</f>
        <v>53284.41430146991</v>
      </c>
      <c r="D18" s="4">
        <f>+C16</f>
        <v>0.7989257265121407</v>
      </c>
    </row>
    <row r="19" ht="13.5" thickTop="1"/>
    <row r="20" spans="1:17" ht="13.5" thickBot="1">
      <c r="A20" s="7" t="s">
        <v>7</v>
      </c>
      <c r="B20" s="7" t="s">
        <v>8</v>
      </c>
      <c r="C20" s="7" t="s">
        <v>9</v>
      </c>
      <c r="D20" s="7" t="s">
        <v>14</v>
      </c>
      <c r="E20" s="7" t="s">
        <v>10</v>
      </c>
      <c r="F20" s="7" t="s">
        <v>11</v>
      </c>
      <c r="G20" s="7" t="s">
        <v>12</v>
      </c>
      <c r="H20" s="10" t="s">
        <v>13</v>
      </c>
      <c r="I20" s="10" t="s">
        <v>33</v>
      </c>
      <c r="J20" s="10" t="s">
        <v>20</v>
      </c>
      <c r="K20" s="10" t="s">
        <v>21</v>
      </c>
      <c r="L20" s="10" t="s">
        <v>29</v>
      </c>
      <c r="M20" s="10" t="s">
        <v>30</v>
      </c>
      <c r="N20" s="10" t="s">
        <v>31</v>
      </c>
      <c r="O20" s="10" t="s">
        <v>26</v>
      </c>
      <c r="P20" s="9" t="s">
        <v>25</v>
      </c>
      <c r="Q20" s="7" t="s">
        <v>16</v>
      </c>
    </row>
    <row r="21" spans="1:17" ht="12.75">
      <c r="A21" t="s">
        <v>13</v>
      </c>
      <c r="C21">
        <v>32768.515</v>
      </c>
      <c r="D21" s="6" t="s">
        <v>15</v>
      </c>
      <c r="E21">
        <f aca="true" t="shared" si="0" ref="E21:E28">+(C21-C$7)/C$8</f>
        <v>0</v>
      </c>
      <c r="F21">
        <f aca="true" t="shared" si="1" ref="F21:F28">ROUND(2*E21,0)/2</f>
        <v>0</v>
      </c>
      <c r="H21">
        <v>0</v>
      </c>
      <c r="O21">
        <f aca="true" t="shared" si="2" ref="O21:O28">+C$11+C$12*F21</f>
        <v>-1.312281088371059</v>
      </c>
      <c r="Q21" s="2">
        <f aca="true" t="shared" si="3" ref="Q21:Q28">+C21-15018.5</f>
        <v>17750.015</v>
      </c>
    </row>
    <row r="22" spans="1:17" ht="12.75">
      <c r="A22" t="s">
        <v>32</v>
      </c>
      <c r="C22" s="11">
        <v>52503.4622</v>
      </c>
      <c r="D22" s="11">
        <v>0.0019</v>
      </c>
      <c r="E22">
        <f t="shared" si="0"/>
        <v>24703.330420915336</v>
      </c>
      <c r="F22">
        <f t="shared" si="1"/>
        <v>24703.5</v>
      </c>
      <c r="G22">
        <f aca="true" t="shared" si="4" ref="G22:G28">+C22-(C$7+F22*C$8)</f>
        <v>-0.13547299999481766</v>
      </c>
      <c r="I22">
        <f aca="true" t="shared" si="5" ref="I22:I28">G22</f>
        <v>-0.13547299999481766</v>
      </c>
      <c r="O22">
        <f t="shared" si="2"/>
        <v>-0.13326919570397333</v>
      </c>
      <c r="Q22" s="2">
        <f t="shared" si="3"/>
        <v>37484.9622</v>
      </c>
    </row>
    <row r="23" spans="1:17" ht="12.75">
      <c r="A23" t="s">
        <v>32</v>
      </c>
      <c r="C23" s="11">
        <v>52621.309</v>
      </c>
      <c r="D23" s="11">
        <v>0.0036</v>
      </c>
      <c r="E23">
        <f t="shared" si="0"/>
        <v>24850.84581125028</v>
      </c>
      <c r="F23">
        <f t="shared" si="1"/>
        <v>24851</v>
      </c>
      <c r="G23">
        <f t="shared" si="4"/>
        <v>-0.12317800000164425</v>
      </c>
      <c r="I23">
        <f t="shared" si="5"/>
        <v>-0.12317800000164425</v>
      </c>
      <c r="O23">
        <f t="shared" si="2"/>
        <v>-0.1262295351632241</v>
      </c>
      <c r="Q23" s="2">
        <f t="shared" si="3"/>
        <v>37602.809</v>
      </c>
    </row>
    <row r="24" spans="1:17" ht="12.75">
      <c r="A24" s="15" t="s">
        <v>36</v>
      </c>
      <c r="B24" s="16"/>
      <c r="C24" s="17">
        <v>53226.4903</v>
      </c>
      <c r="D24" s="17">
        <v>0.0015</v>
      </c>
      <c r="E24">
        <f t="shared" si="0"/>
        <v>25608.384884800933</v>
      </c>
      <c r="F24">
        <f t="shared" si="1"/>
        <v>25608.5</v>
      </c>
      <c r="G24">
        <f t="shared" si="4"/>
        <v>-0.09196300000621704</v>
      </c>
      <c r="I24">
        <f t="shared" si="5"/>
        <v>-0.09196300000621704</v>
      </c>
      <c r="O24">
        <f t="shared" si="2"/>
        <v>-0.0900767022166653</v>
      </c>
      <c r="Q24" s="2">
        <f t="shared" si="3"/>
        <v>38207.9903</v>
      </c>
    </row>
    <row r="25" spans="1:17" ht="12.75">
      <c r="A25" s="15" t="s">
        <v>36</v>
      </c>
      <c r="B25" s="16"/>
      <c r="C25" s="17">
        <v>53242.4652</v>
      </c>
      <c r="D25" s="17">
        <v>0.002</v>
      </c>
      <c r="E25">
        <f t="shared" si="0"/>
        <v>25628.381555131073</v>
      </c>
      <c r="F25">
        <f t="shared" si="1"/>
        <v>25628.5</v>
      </c>
      <c r="G25">
        <f t="shared" si="4"/>
        <v>-0.09462300000450341</v>
      </c>
      <c r="I25">
        <f t="shared" si="5"/>
        <v>-0.09462300000450341</v>
      </c>
      <c r="O25">
        <f t="shared" si="2"/>
        <v>-0.08912217197385197</v>
      </c>
      <c r="Q25" s="2">
        <f t="shared" si="3"/>
        <v>38223.9652</v>
      </c>
    </row>
    <row r="26" spans="1:17" ht="12.75">
      <c r="A26" s="15" t="s">
        <v>36</v>
      </c>
      <c r="B26" s="16"/>
      <c r="C26" s="17">
        <v>53250.4567</v>
      </c>
      <c r="D26" s="17">
        <v>0.0001</v>
      </c>
      <c r="E26">
        <f t="shared" si="0"/>
        <v>25638.384959906274</v>
      </c>
      <c r="F26">
        <f t="shared" si="1"/>
        <v>25638.5</v>
      </c>
      <c r="G26">
        <f t="shared" si="4"/>
        <v>-0.09190300000045681</v>
      </c>
      <c r="I26">
        <f t="shared" si="5"/>
        <v>-0.09190300000045681</v>
      </c>
      <c r="O26">
        <f t="shared" si="2"/>
        <v>-0.08864490685244508</v>
      </c>
      <c r="Q26" s="2">
        <f t="shared" si="3"/>
        <v>38231.9567</v>
      </c>
    </row>
    <row r="27" spans="1:17" ht="12.75">
      <c r="A27" s="15" t="s">
        <v>36</v>
      </c>
      <c r="B27" s="16"/>
      <c r="C27" s="17">
        <v>53256.4572</v>
      </c>
      <c r="D27" s="17">
        <v>0.0042</v>
      </c>
      <c r="E27">
        <f t="shared" si="0"/>
        <v>25645.896119307326</v>
      </c>
      <c r="F27">
        <f t="shared" si="1"/>
        <v>25646</v>
      </c>
      <c r="G27">
        <f t="shared" si="4"/>
        <v>-0.08298800000193296</v>
      </c>
      <c r="I27">
        <f t="shared" si="5"/>
        <v>-0.08298800000193296</v>
      </c>
      <c r="O27">
        <f t="shared" si="2"/>
        <v>-0.08828695801139008</v>
      </c>
      <c r="Q27" s="2">
        <f t="shared" si="3"/>
        <v>38237.9572</v>
      </c>
    </row>
    <row r="28" spans="1:17" ht="12.75">
      <c r="A28" s="15" t="s">
        <v>36</v>
      </c>
      <c r="B28" s="16"/>
      <c r="C28" s="17">
        <v>53284.4188</v>
      </c>
      <c r="D28" s="17">
        <v>0.0047</v>
      </c>
      <c r="E28">
        <f t="shared" si="0"/>
        <v>25680.89720833469</v>
      </c>
      <c r="F28">
        <f t="shared" si="1"/>
        <v>25681</v>
      </c>
      <c r="G28">
        <f t="shared" si="4"/>
        <v>-0.08211799999844516</v>
      </c>
      <c r="I28">
        <f t="shared" si="5"/>
        <v>-0.08211799999844516</v>
      </c>
      <c r="O28">
        <f t="shared" si="2"/>
        <v>-0.08661653008646653</v>
      </c>
      <c r="Q28" s="2">
        <f t="shared" si="3"/>
        <v>38265.9188</v>
      </c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7"/>
  <sheetViews>
    <sheetView zoomScalePageLayoutView="0" workbookViewId="0" topLeftCell="A1">
      <selection activeCell="A32" sqref="A32:C45"/>
    </sheetView>
  </sheetViews>
  <sheetFormatPr defaultColWidth="9.140625" defaultRowHeight="12.75"/>
  <cols>
    <col min="1" max="1" width="19.7109375" style="17" customWidth="1"/>
    <col min="2" max="2" width="4.421875" style="20" customWidth="1"/>
    <col min="3" max="3" width="12.7109375" style="17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7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47" t="s">
        <v>56</v>
      </c>
      <c r="I1" s="48" t="s">
        <v>57</v>
      </c>
      <c r="J1" s="49" t="s">
        <v>58</v>
      </c>
    </row>
    <row r="2" spans="9:10" ht="12.75">
      <c r="I2" s="50" t="s">
        <v>59</v>
      </c>
      <c r="J2" s="51" t="s">
        <v>60</v>
      </c>
    </row>
    <row r="3" spans="1:10" ht="12.75">
      <c r="A3" s="52" t="s">
        <v>61</v>
      </c>
      <c r="I3" s="50" t="s">
        <v>62</v>
      </c>
      <c r="J3" s="51" t="s">
        <v>63</v>
      </c>
    </row>
    <row r="4" spans="9:10" ht="12.75">
      <c r="I4" s="50" t="s">
        <v>64</v>
      </c>
      <c r="J4" s="51" t="s">
        <v>63</v>
      </c>
    </row>
    <row r="5" spans="9:10" ht="13.5" thickBot="1">
      <c r="I5" s="53" t="s">
        <v>65</v>
      </c>
      <c r="J5" s="54" t="s">
        <v>66</v>
      </c>
    </row>
    <row r="10" ht="13.5" thickBot="1"/>
    <row r="11" spans="1:16" ht="12.75" customHeight="1" thickBot="1">
      <c r="A11" s="17" t="str">
        <f aca="true" t="shared" si="0" ref="A11:A45">P11</f>
        <v>BAVM 152 </v>
      </c>
      <c r="B11" s="6" t="str">
        <f aca="true" t="shared" si="1" ref="B11:B45">IF(H11=INT(H11),"I","II")</f>
        <v>II</v>
      </c>
      <c r="C11" s="17">
        <f aca="true" t="shared" si="2" ref="C11:C45">1*G11</f>
        <v>51780.4439</v>
      </c>
      <c r="D11" s="20" t="str">
        <f aca="true" t="shared" si="3" ref="D11:D45">VLOOKUP(F11,I$1:J$5,2,FALSE)</f>
        <v>vis</v>
      </c>
      <c r="E11" s="55">
        <f>VLOOKUP(C11,Active!C$21:E$973,3,FALSE)</f>
        <v>23796.86655354074</v>
      </c>
      <c r="F11" s="6" t="s">
        <v>65</v>
      </c>
      <c r="G11" s="20" t="str">
        <f aca="true" t="shared" si="4" ref="G11:G45">MID(I11,3,LEN(I11)-3)</f>
        <v>51780.4439</v>
      </c>
      <c r="H11" s="17">
        <f aca="true" t="shared" si="5" ref="H11:H45">1*K11</f>
        <v>23798.5</v>
      </c>
      <c r="I11" s="56" t="s">
        <v>85</v>
      </c>
      <c r="J11" s="57" t="s">
        <v>86</v>
      </c>
      <c r="K11" s="56">
        <v>23798.5</v>
      </c>
      <c r="L11" s="56" t="s">
        <v>87</v>
      </c>
      <c r="M11" s="57" t="s">
        <v>88</v>
      </c>
      <c r="N11" s="57" t="s">
        <v>89</v>
      </c>
      <c r="O11" s="58" t="s">
        <v>90</v>
      </c>
      <c r="P11" s="59" t="s">
        <v>91</v>
      </c>
    </row>
    <row r="12" spans="1:16" ht="12.75" customHeight="1" thickBot="1">
      <c r="A12" s="17" t="str">
        <f t="shared" si="0"/>
        <v>BAVM 152 </v>
      </c>
      <c r="B12" s="6" t="str">
        <f t="shared" si="1"/>
        <v>I</v>
      </c>
      <c r="C12" s="17">
        <f t="shared" si="2"/>
        <v>51786.4459</v>
      </c>
      <c r="D12" s="20" t="str">
        <f t="shared" si="3"/>
        <v>vis</v>
      </c>
      <c r="E12" s="55">
        <f>VLOOKUP(C12,Active!C$21:E$973,3,FALSE)</f>
        <v>23804.379141758676</v>
      </c>
      <c r="F12" s="6" t="s">
        <v>65</v>
      </c>
      <c r="G12" s="20" t="str">
        <f t="shared" si="4"/>
        <v>51786.4459</v>
      </c>
      <c r="H12" s="17">
        <f t="shared" si="5"/>
        <v>23806</v>
      </c>
      <c r="I12" s="56" t="s">
        <v>92</v>
      </c>
      <c r="J12" s="57" t="s">
        <v>93</v>
      </c>
      <c r="K12" s="56">
        <v>23806</v>
      </c>
      <c r="L12" s="56" t="s">
        <v>94</v>
      </c>
      <c r="M12" s="57" t="s">
        <v>88</v>
      </c>
      <c r="N12" s="57" t="s">
        <v>89</v>
      </c>
      <c r="O12" s="58" t="s">
        <v>90</v>
      </c>
      <c r="P12" s="59" t="s">
        <v>91</v>
      </c>
    </row>
    <row r="13" spans="1:16" ht="12.75" customHeight="1" thickBot="1">
      <c r="A13" s="17" t="str">
        <f t="shared" si="0"/>
        <v>BAVM 152 </v>
      </c>
      <c r="B13" s="6" t="str">
        <f t="shared" si="1"/>
        <v>I</v>
      </c>
      <c r="C13" s="17">
        <f t="shared" si="2"/>
        <v>51814.4</v>
      </c>
      <c r="D13" s="20" t="str">
        <f t="shared" si="3"/>
        <v>vis</v>
      </c>
      <c r="E13" s="55">
        <f>VLOOKUP(C13,Active!C$21:E$973,3,FALSE)</f>
        <v>23839.368752272338</v>
      </c>
      <c r="F13" s="6" t="s">
        <v>65</v>
      </c>
      <c r="G13" s="20" t="str">
        <f t="shared" si="4"/>
        <v>51814.40</v>
      </c>
      <c r="H13" s="17">
        <f t="shared" si="5"/>
        <v>23841</v>
      </c>
      <c r="I13" s="56" t="s">
        <v>95</v>
      </c>
      <c r="J13" s="57" t="s">
        <v>96</v>
      </c>
      <c r="K13" s="56">
        <v>23841</v>
      </c>
      <c r="L13" s="56" t="s">
        <v>97</v>
      </c>
      <c r="M13" s="57" t="s">
        <v>88</v>
      </c>
      <c r="N13" s="57" t="s">
        <v>89</v>
      </c>
      <c r="O13" s="58" t="s">
        <v>90</v>
      </c>
      <c r="P13" s="59" t="s">
        <v>91</v>
      </c>
    </row>
    <row r="14" spans="1:16" ht="12.75" customHeight="1" thickBot="1">
      <c r="A14" s="17" t="str">
        <f t="shared" si="0"/>
        <v>BAVM 152 </v>
      </c>
      <c r="B14" s="6" t="str">
        <f t="shared" si="1"/>
        <v>II</v>
      </c>
      <c r="C14" s="17">
        <f t="shared" si="2"/>
        <v>51816.3977</v>
      </c>
      <c r="D14" s="20" t="str">
        <f t="shared" si="3"/>
        <v>vis</v>
      </c>
      <c r="E14" s="55">
        <f>VLOOKUP(C14,Active!C$21:E$973,3,FALSE)</f>
        <v>23841.86923502525</v>
      </c>
      <c r="F14" s="6" t="s">
        <v>65</v>
      </c>
      <c r="G14" s="20" t="str">
        <f t="shared" si="4"/>
        <v>51816.3977</v>
      </c>
      <c r="H14" s="17">
        <f t="shared" si="5"/>
        <v>23843.5</v>
      </c>
      <c r="I14" s="56" t="s">
        <v>98</v>
      </c>
      <c r="J14" s="57" t="s">
        <v>99</v>
      </c>
      <c r="K14" s="56">
        <v>23843.5</v>
      </c>
      <c r="L14" s="56" t="s">
        <v>100</v>
      </c>
      <c r="M14" s="57" t="s">
        <v>88</v>
      </c>
      <c r="N14" s="57" t="s">
        <v>89</v>
      </c>
      <c r="O14" s="58" t="s">
        <v>90</v>
      </c>
      <c r="P14" s="59" t="s">
        <v>91</v>
      </c>
    </row>
    <row r="15" spans="1:16" ht="12.75" customHeight="1" thickBot="1">
      <c r="A15" s="17" t="str">
        <f t="shared" si="0"/>
        <v>BAVM 152 </v>
      </c>
      <c r="B15" s="6" t="str">
        <f t="shared" si="1"/>
        <v>II</v>
      </c>
      <c r="C15" s="17">
        <f t="shared" si="2"/>
        <v>52133.563</v>
      </c>
      <c r="D15" s="20" t="str">
        <f t="shared" si="3"/>
        <v>vis</v>
      </c>
      <c r="E15" s="55">
        <f>VLOOKUP(C15,Active!C$21:E$973,3,FALSE)</f>
        <v>24238.858954438398</v>
      </c>
      <c r="F15" s="6" t="s">
        <v>65</v>
      </c>
      <c r="G15" s="20" t="str">
        <f t="shared" si="4"/>
        <v>52133.563</v>
      </c>
      <c r="H15" s="17">
        <f t="shared" si="5"/>
        <v>24240.5</v>
      </c>
      <c r="I15" s="56" t="s">
        <v>101</v>
      </c>
      <c r="J15" s="57" t="s">
        <v>102</v>
      </c>
      <c r="K15" s="56">
        <v>24240.5</v>
      </c>
      <c r="L15" s="56" t="s">
        <v>103</v>
      </c>
      <c r="M15" s="57" t="s">
        <v>88</v>
      </c>
      <c r="N15" s="57" t="s">
        <v>89</v>
      </c>
      <c r="O15" s="58" t="s">
        <v>90</v>
      </c>
      <c r="P15" s="59" t="s">
        <v>91</v>
      </c>
    </row>
    <row r="16" spans="1:16" ht="12.75" customHeight="1" thickBot="1">
      <c r="A16" s="17" t="str">
        <f t="shared" si="0"/>
        <v>BAVM 158 </v>
      </c>
      <c r="B16" s="6" t="str">
        <f t="shared" si="1"/>
        <v>II</v>
      </c>
      <c r="C16" s="17">
        <f t="shared" si="2"/>
        <v>52503.4622</v>
      </c>
      <c r="D16" s="20" t="str">
        <f t="shared" si="3"/>
        <v>vis</v>
      </c>
      <c r="E16" s="55">
        <f>VLOOKUP(C16,Active!C$21:E$973,3,FALSE)</f>
        <v>24701.854684485625</v>
      </c>
      <c r="F16" s="6" t="s">
        <v>65</v>
      </c>
      <c r="G16" s="20" t="str">
        <f t="shared" si="4"/>
        <v>52503.4622</v>
      </c>
      <c r="H16" s="17">
        <f t="shared" si="5"/>
        <v>24703.5</v>
      </c>
      <c r="I16" s="56" t="s">
        <v>104</v>
      </c>
      <c r="J16" s="57" t="s">
        <v>105</v>
      </c>
      <c r="K16" s="56">
        <v>24703.5</v>
      </c>
      <c r="L16" s="56" t="s">
        <v>106</v>
      </c>
      <c r="M16" s="57" t="s">
        <v>88</v>
      </c>
      <c r="N16" s="57" t="s">
        <v>107</v>
      </c>
      <c r="O16" s="58" t="s">
        <v>90</v>
      </c>
      <c r="P16" s="59" t="s">
        <v>108</v>
      </c>
    </row>
    <row r="17" spans="1:16" ht="12.75" customHeight="1" thickBot="1">
      <c r="A17" s="17" t="str">
        <f t="shared" si="0"/>
        <v>BAVM 158 </v>
      </c>
      <c r="B17" s="6" t="str">
        <f t="shared" si="1"/>
        <v>I</v>
      </c>
      <c r="C17" s="17">
        <f t="shared" si="2"/>
        <v>52621.309</v>
      </c>
      <c r="D17" s="20" t="str">
        <f t="shared" si="3"/>
        <v>vis</v>
      </c>
      <c r="E17" s="55">
        <f>VLOOKUP(C17,Active!C$21:E$973,3,FALSE)</f>
        <v>24849.36126249317</v>
      </c>
      <c r="F17" s="6" t="s">
        <v>65</v>
      </c>
      <c r="G17" s="20" t="str">
        <f t="shared" si="4"/>
        <v>52621.3090</v>
      </c>
      <c r="H17" s="17">
        <f t="shared" si="5"/>
        <v>24851</v>
      </c>
      <c r="I17" s="56" t="s">
        <v>109</v>
      </c>
      <c r="J17" s="57" t="s">
        <v>110</v>
      </c>
      <c r="K17" s="56" t="s">
        <v>111</v>
      </c>
      <c r="L17" s="56" t="s">
        <v>112</v>
      </c>
      <c r="M17" s="57" t="s">
        <v>88</v>
      </c>
      <c r="N17" s="57" t="s">
        <v>107</v>
      </c>
      <c r="O17" s="58" t="s">
        <v>90</v>
      </c>
      <c r="P17" s="59" t="s">
        <v>108</v>
      </c>
    </row>
    <row r="18" spans="1:16" ht="12.75" customHeight="1" thickBot="1">
      <c r="A18" s="17" t="str">
        <f t="shared" si="0"/>
        <v>IBVS 5502 </v>
      </c>
      <c r="B18" s="6" t="str">
        <f t="shared" si="1"/>
        <v>II</v>
      </c>
      <c r="C18" s="17">
        <f t="shared" si="2"/>
        <v>52967.642</v>
      </c>
      <c r="D18" s="20" t="str">
        <f t="shared" si="3"/>
        <v>vis</v>
      </c>
      <c r="E18" s="55">
        <f>VLOOKUP(C18,Active!C$21:E$973,3,FALSE)</f>
        <v>25282.859632250245</v>
      </c>
      <c r="F18" s="6" t="s">
        <v>65</v>
      </c>
      <c r="G18" s="20" t="str">
        <f t="shared" si="4"/>
        <v>52967.642</v>
      </c>
      <c r="H18" s="17">
        <f t="shared" si="5"/>
        <v>25284.5</v>
      </c>
      <c r="I18" s="56" t="s">
        <v>113</v>
      </c>
      <c r="J18" s="57" t="s">
        <v>114</v>
      </c>
      <c r="K18" s="56" t="s">
        <v>115</v>
      </c>
      <c r="L18" s="56" t="s">
        <v>116</v>
      </c>
      <c r="M18" s="57" t="s">
        <v>88</v>
      </c>
      <c r="N18" s="57" t="s">
        <v>117</v>
      </c>
      <c r="O18" s="58" t="s">
        <v>118</v>
      </c>
      <c r="P18" s="59" t="s">
        <v>119</v>
      </c>
    </row>
    <row r="19" spans="1:16" ht="12.75" customHeight="1" thickBot="1">
      <c r="A19" s="17" t="str">
        <f t="shared" si="0"/>
        <v>BAVM 173 </v>
      </c>
      <c r="B19" s="6" t="str">
        <f t="shared" si="1"/>
        <v>II</v>
      </c>
      <c r="C19" s="17">
        <f t="shared" si="2"/>
        <v>53226.4903</v>
      </c>
      <c r="D19" s="20" t="str">
        <f t="shared" si="3"/>
        <v>vis</v>
      </c>
      <c r="E19" s="55">
        <f>VLOOKUP(C19,Active!C$21:E$973,3,FALSE)</f>
        <v>25606.855081902428</v>
      </c>
      <c r="F19" s="6" t="s">
        <v>65</v>
      </c>
      <c r="G19" s="20" t="str">
        <f t="shared" si="4"/>
        <v>53226.4903</v>
      </c>
      <c r="H19" s="17">
        <f t="shared" si="5"/>
        <v>25608.5</v>
      </c>
      <c r="I19" s="56" t="s">
        <v>120</v>
      </c>
      <c r="J19" s="57" t="s">
        <v>121</v>
      </c>
      <c r="K19" s="56" t="s">
        <v>122</v>
      </c>
      <c r="L19" s="56" t="s">
        <v>123</v>
      </c>
      <c r="M19" s="57" t="s">
        <v>88</v>
      </c>
      <c r="N19" s="57" t="s">
        <v>107</v>
      </c>
      <c r="O19" s="58" t="s">
        <v>90</v>
      </c>
      <c r="P19" s="59" t="s">
        <v>124</v>
      </c>
    </row>
    <row r="20" spans="1:16" ht="12.75" customHeight="1" thickBot="1">
      <c r="A20" s="17" t="str">
        <f t="shared" si="0"/>
        <v>BAVM 173 </v>
      </c>
      <c r="B20" s="6" t="str">
        <f t="shared" si="1"/>
        <v>II</v>
      </c>
      <c r="C20" s="17">
        <f t="shared" si="2"/>
        <v>53242.4652</v>
      </c>
      <c r="D20" s="20" t="str">
        <f t="shared" si="3"/>
        <v>vis</v>
      </c>
      <c r="E20" s="55">
        <f>VLOOKUP(C20,Active!C$21:E$973,3,FALSE)</f>
        <v>25626.85055766429</v>
      </c>
      <c r="F20" s="6" t="s">
        <v>65</v>
      </c>
      <c r="G20" s="20" t="str">
        <f t="shared" si="4"/>
        <v>53242.4652</v>
      </c>
      <c r="H20" s="17">
        <f t="shared" si="5"/>
        <v>25628.5</v>
      </c>
      <c r="I20" s="56" t="s">
        <v>125</v>
      </c>
      <c r="J20" s="57" t="s">
        <v>126</v>
      </c>
      <c r="K20" s="56" t="s">
        <v>127</v>
      </c>
      <c r="L20" s="56" t="s">
        <v>128</v>
      </c>
      <c r="M20" s="57" t="s">
        <v>88</v>
      </c>
      <c r="N20" s="57" t="s">
        <v>107</v>
      </c>
      <c r="O20" s="58" t="s">
        <v>90</v>
      </c>
      <c r="P20" s="59" t="s">
        <v>124</v>
      </c>
    </row>
    <row r="21" spans="1:16" ht="12.75" customHeight="1" thickBot="1">
      <c r="A21" s="17" t="str">
        <f t="shared" si="0"/>
        <v>BAVM 173 </v>
      </c>
      <c r="B21" s="6" t="str">
        <f t="shared" si="1"/>
        <v>II</v>
      </c>
      <c r="C21" s="17">
        <f t="shared" si="2"/>
        <v>53250.4567</v>
      </c>
      <c r="D21" s="20" t="str">
        <f t="shared" si="3"/>
        <v>vis</v>
      </c>
      <c r="E21" s="55">
        <f>VLOOKUP(C21,Active!C$21:E$973,3,FALSE)</f>
        <v>25636.8533648525</v>
      </c>
      <c r="F21" s="6" t="s">
        <v>65</v>
      </c>
      <c r="G21" s="20" t="str">
        <f t="shared" si="4"/>
        <v>53250.4567</v>
      </c>
      <c r="H21" s="17">
        <f t="shared" si="5"/>
        <v>25638.5</v>
      </c>
      <c r="I21" s="56" t="s">
        <v>129</v>
      </c>
      <c r="J21" s="57" t="s">
        <v>130</v>
      </c>
      <c r="K21" s="56" t="s">
        <v>131</v>
      </c>
      <c r="L21" s="56" t="s">
        <v>132</v>
      </c>
      <c r="M21" s="57" t="s">
        <v>88</v>
      </c>
      <c r="N21" s="57" t="s">
        <v>107</v>
      </c>
      <c r="O21" s="58" t="s">
        <v>90</v>
      </c>
      <c r="P21" s="59" t="s">
        <v>124</v>
      </c>
    </row>
    <row r="22" spans="1:16" ht="12.75" customHeight="1" thickBot="1">
      <c r="A22" s="17" t="str">
        <f t="shared" si="0"/>
        <v>BAVM 173 </v>
      </c>
      <c r="B22" s="6" t="str">
        <f t="shared" si="1"/>
        <v>I</v>
      </c>
      <c r="C22" s="17">
        <f t="shared" si="2"/>
        <v>53256.4572</v>
      </c>
      <c r="D22" s="20" t="str">
        <f t="shared" si="3"/>
        <v>vis</v>
      </c>
      <c r="E22" s="55">
        <f>VLOOKUP(C22,Active!C$21:E$973,3,FALSE)</f>
        <v>25644.364075549216</v>
      </c>
      <c r="F22" s="6" t="s">
        <v>65</v>
      </c>
      <c r="G22" s="20" t="str">
        <f t="shared" si="4"/>
        <v>53256.4572</v>
      </c>
      <c r="H22" s="17">
        <f t="shared" si="5"/>
        <v>25646</v>
      </c>
      <c r="I22" s="56" t="s">
        <v>133</v>
      </c>
      <c r="J22" s="57" t="s">
        <v>134</v>
      </c>
      <c r="K22" s="56" t="s">
        <v>135</v>
      </c>
      <c r="L22" s="56" t="s">
        <v>136</v>
      </c>
      <c r="M22" s="57" t="s">
        <v>88</v>
      </c>
      <c r="N22" s="57" t="s">
        <v>107</v>
      </c>
      <c r="O22" s="58" t="s">
        <v>90</v>
      </c>
      <c r="P22" s="59" t="s">
        <v>124</v>
      </c>
    </row>
    <row r="23" spans="1:16" ht="12.75" customHeight="1" thickBot="1">
      <c r="A23" s="17" t="str">
        <f t="shared" si="0"/>
        <v>BAVM 173 </v>
      </c>
      <c r="B23" s="6" t="str">
        <f t="shared" si="1"/>
        <v>I</v>
      </c>
      <c r="C23" s="17">
        <f t="shared" si="2"/>
        <v>53284.4188</v>
      </c>
      <c r="D23" s="20" t="str">
        <f t="shared" si="3"/>
        <v>vis</v>
      </c>
      <c r="E23" s="55">
        <f>VLOOKUP(C23,Active!C$21:E$973,3,FALSE)</f>
        <v>25679.363073668945</v>
      </c>
      <c r="F23" s="6" t="s">
        <v>65</v>
      </c>
      <c r="G23" s="20" t="str">
        <f t="shared" si="4"/>
        <v>53284.4188</v>
      </c>
      <c r="H23" s="17">
        <f t="shared" si="5"/>
        <v>25681</v>
      </c>
      <c r="I23" s="56" t="s">
        <v>137</v>
      </c>
      <c r="J23" s="57" t="s">
        <v>138</v>
      </c>
      <c r="K23" s="56" t="s">
        <v>139</v>
      </c>
      <c r="L23" s="56" t="s">
        <v>140</v>
      </c>
      <c r="M23" s="57" t="s">
        <v>88</v>
      </c>
      <c r="N23" s="57" t="s">
        <v>107</v>
      </c>
      <c r="O23" s="58" t="s">
        <v>90</v>
      </c>
      <c r="P23" s="59" t="s">
        <v>124</v>
      </c>
    </row>
    <row r="24" spans="1:16" ht="12.75" customHeight="1" thickBot="1">
      <c r="A24" s="17" t="str">
        <f t="shared" si="0"/>
        <v>BAVM 178 </v>
      </c>
      <c r="B24" s="6" t="str">
        <f t="shared" si="1"/>
        <v>I</v>
      </c>
      <c r="C24" s="17">
        <f t="shared" si="2"/>
        <v>53653.5105</v>
      </c>
      <c r="D24" s="20" t="str">
        <f t="shared" si="3"/>
        <v>vis</v>
      </c>
      <c r="E24" s="55">
        <f>VLOOKUP(C24,Active!C$21:E$973,3,FALSE)</f>
        <v>26141.34807146259</v>
      </c>
      <c r="F24" s="6" t="s">
        <v>65</v>
      </c>
      <c r="G24" s="20" t="str">
        <f t="shared" si="4"/>
        <v>53653.5105</v>
      </c>
      <c r="H24" s="17">
        <f t="shared" si="5"/>
        <v>26143</v>
      </c>
      <c r="I24" s="56" t="s">
        <v>141</v>
      </c>
      <c r="J24" s="57" t="s">
        <v>142</v>
      </c>
      <c r="K24" s="56" t="s">
        <v>143</v>
      </c>
      <c r="L24" s="56" t="s">
        <v>144</v>
      </c>
      <c r="M24" s="57" t="s">
        <v>145</v>
      </c>
      <c r="N24" s="57" t="s">
        <v>107</v>
      </c>
      <c r="O24" s="58" t="s">
        <v>90</v>
      </c>
      <c r="P24" s="59" t="s">
        <v>146</v>
      </c>
    </row>
    <row r="25" spans="1:16" ht="12.75" customHeight="1" thickBot="1">
      <c r="A25" s="17" t="str">
        <f t="shared" si="0"/>
        <v>IBVS 5929 </v>
      </c>
      <c r="B25" s="6" t="str">
        <f t="shared" si="1"/>
        <v>I</v>
      </c>
      <c r="C25" s="17">
        <f t="shared" si="2"/>
        <v>55062.815</v>
      </c>
      <c r="D25" s="20" t="str">
        <f t="shared" si="3"/>
        <v>vis</v>
      </c>
      <c r="E25" s="55">
        <f>VLOOKUP(C25,Active!C$21:E$973,3,FALSE)</f>
        <v>27905.347468693904</v>
      </c>
      <c r="F25" s="6" t="s">
        <v>65</v>
      </c>
      <c r="G25" s="20" t="str">
        <f t="shared" si="4"/>
        <v>55062.815</v>
      </c>
      <c r="H25" s="17">
        <f t="shared" si="5"/>
        <v>27907</v>
      </c>
      <c r="I25" s="56" t="s">
        <v>169</v>
      </c>
      <c r="J25" s="57" t="s">
        <v>170</v>
      </c>
      <c r="K25" s="56" t="s">
        <v>171</v>
      </c>
      <c r="L25" s="56" t="s">
        <v>78</v>
      </c>
      <c r="M25" s="57" t="s">
        <v>145</v>
      </c>
      <c r="N25" s="57" t="s">
        <v>172</v>
      </c>
      <c r="O25" s="58" t="s">
        <v>173</v>
      </c>
      <c r="P25" s="59" t="s">
        <v>174</v>
      </c>
    </row>
    <row r="26" spans="1:16" ht="12.75" customHeight="1" thickBot="1">
      <c r="A26" s="17" t="str">
        <f t="shared" si="0"/>
        <v>BAVM 215 </v>
      </c>
      <c r="B26" s="6" t="str">
        <f t="shared" si="1"/>
        <v>II</v>
      </c>
      <c r="C26" s="17">
        <f t="shared" si="2"/>
        <v>55451.4918</v>
      </c>
      <c r="D26" s="20" t="str">
        <f t="shared" si="3"/>
        <v>vis</v>
      </c>
      <c r="E26" s="55">
        <f>VLOOKUP(C26,Active!C$21:E$973,3,FALSE)</f>
        <v>28391.84676030746</v>
      </c>
      <c r="F26" s="6" t="s">
        <v>65</v>
      </c>
      <c r="G26" s="20" t="str">
        <f t="shared" si="4"/>
        <v>55451.4918</v>
      </c>
      <c r="H26" s="17">
        <f t="shared" si="5"/>
        <v>28393.5</v>
      </c>
      <c r="I26" s="56" t="s">
        <v>180</v>
      </c>
      <c r="J26" s="57" t="s">
        <v>181</v>
      </c>
      <c r="K26" s="56" t="s">
        <v>182</v>
      </c>
      <c r="L26" s="56" t="s">
        <v>183</v>
      </c>
      <c r="M26" s="57" t="s">
        <v>145</v>
      </c>
      <c r="N26" s="57" t="s">
        <v>107</v>
      </c>
      <c r="O26" s="58" t="s">
        <v>90</v>
      </c>
      <c r="P26" s="59" t="s">
        <v>184</v>
      </c>
    </row>
    <row r="27" spans="1:16" ht="12.75" customHeight="1" thickBot="1">
      <c r="A27" s="17" t="str">
        <f t="shared" si="0"/>
        <v>BAVM 215 </v>
      </c>
      <c r="B27" s="6" t="str">
        <f t="shared" si="1"/>
        <v>II</v>
      </c>
      <c r="C27" s="17">
        <f t="shared" si="2"/>
        <v>55463.4758</v>
      </c>
      <c r="D27" s="20" t="str">
        <f t="shared" si="3"/>
        <v>vis</v>
      </c>
      <c r="E27" s="55">
        <f>VLOOKUP(C27,Active!C$21:E$973,3,FALSE)</f>
        <v>28406.846903127138</v>
      </c>
      <c r="F27" s="6" t="s">
        <v>65</v>
      </c>
      <c r="G27" s="20" t="str">
        <f t="shared" si="4"/>
        <v>55463.4758</v>
      </c>
      <c r="H27" s="17">
        <f t="shared" si="5"/>
        <v>28408.5</v>
      </c>
      <c r="I27" s="56" t="s">
        <v>185</v>
      </c>
      <c r="J27" s="57" t="s">
        <v>186</v>
      </c>
      <c r="K27" s="56" t="s">
        <v>187</v>
      </c>
      <c r="L27" s="56" t="s">
        <v>188</v>
      </c>
      <c r="M27" s="57" t="s">
        <v>145</v>
      </c>
      <c r="N27" s="57" t="s">
        <v>107</v>
      </c>
      <c r="O27" s="58" t="s">
        <v>90</v>
      </c>
      <c r="P27" s="59" t="s">
        <v>184</v>
      </c>
    </row>
    <row r="28" spans="1:16" ht="12.75" customHeight="1" thickBot="1">
      <c r="A28" s="17" t="str">
        <f t="shared" si="0"/>
        <v>BAVM 234 </v>
      </c>
      <c r="B28" s="6" t="str">
        <f t="shared" si="1"/>
        <v>II</v>
      </c>
      <c r="C28" s="17">
        <f t="shared" si="2"/>
        <v>56568.3878</v>
      </c>
      <c r="D28" s="20" t="str">
        <f t="shared" si="3"/>
        <v>vis</v>
      </c>
      <c r="E28" s="55">
        <f>VLOOKUP(C28,Active!C$21:E$973,3,FALSE)</f>
        <v>29789.844049587417</v>
      </c>
      <c r="F28" s="6" t="s">
        <v>65</v>
      </c>
      <c r="G28" s="20" t="str">
        <f t="shared" si="4"/>
        <v>56568.3878</v>
      </c>
      <c r="H28" s="17">
        <f t="shared" si="5"/>
        <v>29791.5</v>
      </c>
      <c r="I28" s="56" t="s">
        <v>202</v>
      </c>
      <c r="J28" s="57" t="s">
        <v>203</v>
      </c>
      <c r="K28" s="56" t="s">
        <v>204</v>
      </c>
      <c r="L28" s="56" t="s">
        <v>205</v>
      </c>
      <c r="M28" s="57" t="s">
        <v>145</v>
      </c>
      <c r="N28" s="57" t="s">
        <v>107</v>
      </c>
      <c r="O28" s="58" t="s">
        <v>90</v>
      </c>
      <c r="P28" s="59" t="s">
        <v>206</v>
      </c>
    </row>
    <row r="29" spans="1:16" ht="12.75" customHeight="1" thickBot="1">
      <c r="A29" s="17" t="str">
        <f t="shared" si="0"/>
        <v>BAVM 234 </v>
      </c>
      <c r="B29" s="6" t="str">
        <f t="shared" si="1"/>
        <v>II</v>
      </c>
      <c r="C29" s="17">
        <f t="shared" si="2"/>
        <v>56600.3425</v>
      </c>
      <c r="D29" s="20" t="str">
        <f t="shared" si="3"/>
        <v>vis</v>
      </c>
      <c r="E29" s="55">
        <f>VLOOKUP(C29,Active!C$21:E$973,3,FALSE)</f>
        <v>29829.841134347105</v>
      </c>
      <c r="F29" s="6" t="s">
        <v>65</v>
      </c>
      <c r="G29" s="20" t="str">
        <f t="shared" si="4"/>
        <v>56600.3425</v>
      </c>
      <c r="H29" s="17">
        <f t="shared" si="5"/>
        <v>29831.5</v>
      </c>
      <c r="I29" s="56" t="s">
        <v>207</v>
      </c>
      <c r="J29" s="57" t="s">
        <v>208</v>
      </c>
      <c r="K29" s="56" t="s">
        <v>209</v>
      </c>
      <c r="L29" s="56" t="s">
        <v>210</v>
      </c>
      <c r="M29" s="57" t="s">
        <v>145</v>
      </c>
      <c r="N29" s="57" t="s">
        <v>107</v>
      </c>
      <c r="O29" s="58" t="s">
        <v>90</v>
      </c>
      <c r="P29" s="59" t="s">
        <v>206</v>
      </c>
    </row>
    <row r="30" spans="1:16" ht="12.75" customHeight="1" thickBot="1">
      <c r="A30" s="17" t="str">
        <f t="shared" si="0"/>
        <v>BAVM 239 </v>
      </c>
      <c r="B30" s="6" t="str">
        <f t="shared" si="1"/>
        <v>II</v>
      </c>
      <c r="C30" s="17">
        <f t="shared" si="2"/>
        <v>56934.2955</v>
      </c>
      <c r="D30" s="20" t="str">
        <f t="shared" si="3"/>
        <v>vis</v>
      </c>
      <c r="E30" s="55">
        <f>VLOOKUP(C30,Active!C$21:E$973,3,FALSE)</f>
        <v>30247.843695683983</v>
      </c>
      <c r="F30" s="6" t="s">
        <v>65</v>
      </c>
      <c r="G30" s="20" t="str">
        <f t="shared" si="4"/>
        <v>56934.2955</v>
      </c>
      <c r="H30" s="17">
        <f t="shared" si="5"/>
        <v>30249.5</v>
      </c>
      <c r="I30" s="56" t="s">
        <v>211</v>
      </c>
      <c r="J30" s="57" t="s">
        <v>212</v>
      </c>
      <c r="K30" s="56" t="s">
        <v>213</v>
      </c>
      <c r="L30" s="56" t="s">
        <v>214</v>
      </c>
      <c r="M30" s="57" t="s">
        <v>145</v>
      </c>
      <c r="N30" s="57" t="s">
        <v>107</v>
      </c>
      <c r="O30" s="58" t="s">
        <v>90</v>
      </c>
      <c r="P30" s="59" t="s">
        <v>215</v>
      </c>
    </row>
    <row r="31" spans="1:16" ht="12.75" customHeight="1" thickBot="1">
      <c r="A31" s="17" t="str">
        <f t="shared" si="0"/>
        <v>BAVM 239 </v>
      </c>
      <c r="B31" s="6" t="str">
        <f t="shared" si="1"/>
        <v>II</v>
      </c>
      <c r="C31" s="17">
        <f t="shared" si="2"/>
        <v>56949.4765</v>
      </c>
      <c r="D31" s="20" t="str">
        <f t="shared" si="3"/>
        <v>vis</v>
      </c>
      <c r="E31" s="55">
        <f>VLOOKUP(C31,Active!C$21:E$973,3,FALSE)</f>
        <v>30266.845462051268</v>
      </c>
      <c r="F31" s="6" t="s">
        <v>65</v>
      </c>
      <c r="G31" s="20" t="str">
        <f t="shared" si="4"/>
        <v>56949.4765</v>
      </c>
      <c r="H31" s="17">
        <f t="shared" si="5"/>
        <v>30268.5</v>
      </c>
      <c r="I31" s="56" t="s">
        <v>216</v>
      </c>
      <c r="J31" s="57" t="s">
        <v>217</v>
      </c>
      <c r="K31" s="56" t="s">
        <v>218</v>
      </c>
      <c r="L31" s="56" t="s">
        <v>219</v>
      </c>
      <c r="M31" s="57" t="s">
        <v>145</v>
      </c>
      <c r="N31" s="57" t="s">
        <v>107</v>
      </c>
      <c r="O31" s="58" t="s">
        <v>90</v>
      </c>
      <c r="P31" s="59" t="s">
        <v>215</v>
      </c>
    </row>
    <row r="32" spans="1:16" ht="12.75" customHeight="1" thickBot="1">
      <c r="A32" s="17" t="str">
        <f t="shared" si="0"/>
        <v> RIA 8.230 </v>
      </c>
      <c r="B32" s="6" t="str">
        <f t="shared" si="1"/>
        <v>I</v>
      </c>
      <c r="C32" s="17">
        <f t="shared" si="2"/>
        <v>32768.497</v>
      </c>
      <c r="D32" s="20" t="str">
        <f t="shared" si="3"/>
        <v>vis</v>
      </c>
      <c r="E32" s="55">
        <f>VLOOKUP(C32,Active!C$21:E$973,3,FALSE)</f>
        <v>-0.02253025456443052</v>
      </c>
      <c r="F32" s="6" t="s">
        <v>65</v>
      </c>
      <c r="G32" s="20" t="str">
        <f t="shared" si="4"/>
        <v>32768.497</v>
      </c>
      <c r="H32" s="17">
        <f t="shared" si="5"/>
        <v>0</v>
      </c>
      <c r="I32" s="56" t="s">
        <v>67</v>
      </c>
      <c r="J32" s="57" t="s">
        <v>68</v>
      </c>
      <c r="K32" s="56">
        <v>0</v>
      </c>
      <c r="L32" s="56" t="s">
        <v>69</v>
      </c>
      <c r="M32" s="57" t="s">
        <v>70</v>
      </c>
      <c r="N32" s="57"/>
      <c r="O32" s="58" t="s">
        <v>71</v>
      </c>
      <c r="P32" s="58" t="s">
        <v>72</v>
      </c>
    </row>
    <row r="33" spans="1:16" ht="12.75" customHeight="1" thickBot="1">
      <c r="A33" s="17" t="str">
        <f t="shared" si="0"/>
        <v> RIA 8.230 </v>
      </c>
      <c r="B33" s="6" t="str">
        <f t="shared" si="1"/>
        <v>I</v>
      </c>
      <c r="C33" s="17">
        <f t="shared" si="2"/>
        <v>32936.293</v>
      </c>
      <c r="D33" s="20" t="str">
        <f t="shared" si="3"/>
        <v>vis</v>
      </c>
      <c r="E33" s="55">
        <f>VLOOKUP(C33,Active!C$21:E$973,3,FALSE)</f>
        <v>210.00450283715935</v>
      </c>
      <c r="F33" s="6" t="s">
        <v>65</v>
      </c>
      <c r="G33" s="20" t="str">
        <f t="shared" si="4"/>
        <v>32936.293</v>
      </c>
      <c r="H33" s="17">
        <f t="shared" si="5"/>
        <v>210</v>
      </c>
      <c r="I33" s="56" t="s">
        <v>73</v>
      </c>
      <c r="J33" s="57" t="s">
        <v>74</v>
      </c>
      <c r="K33" s="56">
        <v>210</v>
      </c>
      <c r="L33" s="56" t="s">
        <v>75</v>
      </c>
      <c r="M33" s="57" t="s">
        <v>70</v>
      </c>
      <c r="N33" s="57"/>
      <c r="O33" s="58" t="s">
        <v>71</v>
      </c>
      <c r="P33" s="58" t="s">
        <v>72</v>
      </c>
    </row>
    <row r="34" spans="1:16" ht="12.75" customHeight="1" thickBot="1">
      <c r="A34" s="17" t="str">
        <f t="shared" si="0"/>
        <v> RIA 8.230 </v>
      </c>
      <c r="B34" s="6" t="str">
        <f t="shared" si="1"/>
        <v>I</v>
      </c>
      <c r="C34" s="17">
        <f t="shared" si="2"/>
        <v>33186.34</v>
      </c>
      <c r="D34" s="20" t="str">
        <f t="shared" si="3"/>
        <v>vis</v>
      </c>
      <c r="E34" s="55">
        <f>VLOOKUP(C34,Active!C$21:E$973,3,FALSE)</f>
        <v>522.9835341816944</v>
      </c>
      <c r="F34" s="6" t="s">
        <v>65</v>
      </c>
      <c r="G34" s="20" t="str">
        <f t="shared" si="4"/>
        <v>33186.340</v>
      </c>
      <c r="H34" s="17">
        <f t="shared" si="5"/>
        <v>523</v>
      </c>
      <c r="I34" s="56" t="s">
        <v>76</v>
      </c>
      <c r="J34" s="57" t="s">
        <v>77</v>
      </c>
      <c r="K34" s="56">
        <v>523</v>
      </c>
      <c r="L34" s="56" t="s">
        <v>78</v>
      </c>
      <c r="M34" s="57" t="s">
        <v>70</v>
      </c>
      <c r="N34" s="57"/>
      <c r="O34" s="58" t="s">
        <v>71</v>
      </c>
      <c r="P34" s="58" t="s">
        <v>72</v>
      </c>
    </row>
    <row r="35" spans="1:16" ht="12.75" customHeight="1" thickBot="1">
      <c r="A35" s="17" t="str">
        <f t="shared" si="0"/>
        <v> RIA 8.230 </v>
      </c>
      <c r="B35" s="6" t="str">
        <f t="shared" si="1"/>
        <v>I</v>
      </c>
      <c r="C35" s="17">
        <f t="shared" si="2"/>
        <v>33511.47</v>
      </c>
      <c r="D35" s="20" t="str">
        <f t="shared" si="3"/>
        <v>vis</v>
      </c>
      <c r="E35" s="55">
        <f>VLOOKUP(C35,Active!C$21:E$973,3,FALSE)</f>
        <v>929.9425157373645</v>
      </c>
      <c r="F35" s="6" t="s">
        <v>65</v>
      </c>
      <c r="G35" s="20" t="str">
        <f t="shared" si="4"/>
        <v>33511.470</v>
      </c>
      <c r="H35" s="17">
        <f t="shared" si="5"/>
        <v>930</v>
      </c>
      <c r="I35" s="56" t="s">
        <v>79</v>
      </c>
      <c r="J35" s="57" t="s">
        <v>80</v>
      </c>
      <c r="K35" s="56">
        <v>930</v>
      </c>
      <c r="L35" s="56" t="s">
        <v>81</v>
      </c>
      <c r="M35" s="57" t="s">
        <v>70</v>
      </c>
      <c r="N35" s="57"/>
      <c r="O35" s="58" t="s">
        <v>71</v>
      </c>
      <c r="P35" s="58" t="s">
        <v>72</v>
      </c>
    </row>
    <row r="36" spans="1:16" ht="12.75" customHeight="1" thickBot="1">
      <c r="A36" s="17" t="str">
        <f t="shared" si="0"/>
        <v> RIA 8.230 </v>
      </c>
      <c r="B36" s="6" t="str">
        <f t="shared" si="1"/>
        <v>I</v>
      </c>
      <c r="C36" s="17">
        <f t="shared" si="2"/>
        <v>34298.36</v>
      </c>
      <c r="D36" s="20" t="str">
        <f t="shared" si="3"/>
        <v>vis</v>
      </c>
      <c r="E36" s="55">
        <f>VLOOKUP(C36,Active!C$21:E$973,3,FALSE)</f>
        <v>1914.8776278350992</v>
      </c>
      <c r="F36" s="6" t="s">
        <v>65</v>
      </c>
      <c r="G36" s="20" t="str">
        <f t="shared" si="4"/>
        <v>34298.360</v>
      </c>
      <c r="H36" s="17">
        <f t="shared" si="5"/>
        <v>1915</v>
      </c>
      <c r="I36" s="56" t="s">
        <v>82</v>
      </c>
      <c r="J36" s="57" t="s">
        <v>83</v>
      </c>
      <c r="K36" s="56">
        <v>1915</v>
      </c>
      <c r="L36" s="56" t="s">
        <v>84</v>
      </c>
      <c r="M36" s="57" t="s">
        <v>70</v>
      </c>
      <c r="N36" s="57"/>
      <c r="O36" s="58" t="s">
        <v>71</v>
      </c>
      <c r="P36" s="58" t="s">
        <v>72</v>
      </c>
    </row>
    <row r="37" spans="1:16" ht="12.75" customHeight="1" thickBot="1">
      <c r="A37" s="17" t="str">
        <f t="shared" si="0"/>
        <v>BAVM 203 </v>
      </c>
      <c r="B37" s="6" t="str">
        <f t="shared" si="1"/>
        <v>I</v>
      </c>
      <c r="C37" s="17">
        <f t="shared" si="2"/>
        <v>54738.4644</v>
      </c>
      <c r="D37" s="20" t="str">
        <f t="shared" si="3"/>
        <v>vis</v>
      </c>
      <c r="E37" s="55">
        <f>VLOOKUP(C37,Active!C$21:E$973,3,FALSE)</f>
        <v>27499.364047161067</v>
      </c>
      <c r="F37" s="6" t="s">
        <v>65</v>
      </c>
      <c r="G37" s="20" t="str">
        <f t="shared" si="4"/>
        <v>54738.4644</v>
      </c>
      <c r="H37" s="17">
        <f t="shared" si="5"/>
        <v>27501</v>
      </c>
      <c r="I37" s="56" t="s">
        <v>147</v>
      </c>
      <c r="J37" s="57" t="s">
        <v>148</v>
      </c>
      <c r="K37" s="56" t="s">
        <v>149</v>
      </c>
      <c r="L37" s="56" t="s">
        <v>150</v>
      </c>
      <c r="M37" s="57" t="s">
        <v>145</v>
      </c>
      <c r="N37" s="57" t="s">
        <v>107</v>
      </c>
      <c r="O37" s="58" t="s">
        <v>90</v>
      </c>
      <c r="P37" s="59" t="s">
        <v>151</v>
      </c>
    </row>
    <row r="38" spans="1:16" ht="12.75" customHeight="1" thickBot="1">
      <c r="A38" s="17" t="str">
        <f t="shared" si="0"/>
        <v>BAVM 203 </v>
      </c>
      <c r="B38" s="6" t="str">
        <f t="shared" si="1"/>
        <v>I</v>
      </c>
      <c r="C38" s="17">
        <f t="shared" si="2"/>
        <v>54798.3731</v>
      </c>
      <c r="D38" s="20" t="str">
        <f t="shared" si="3"/>
        <v>vis</v>
      </c>
      <c r="E38" s="55">
        <f>VLOOKUP(C38,Active!C$21:E$973,3,FALSE)</f>
        <v>27574.35061726633</v>
      </c>
      <c r="F38" s="6" t="s">
        <v>65</v>
      </c>
      <c r="G38" s="20" t="str">
        <f t="shared" si="4"/>
        <v>54798.3731</v>
      </c>
      <c r="H38" s="17">
        <f t="shared" si="5"/>
        <v>27576</v>
      </c>
      <c r="I38" s="56" t="s">
        <v>152</v>
      </c>
      <c r="J38" s="57" t="s">
        <v>153</v>
      </c>
      <c r="K38" s="56" t="s">
        <v>154</v>
      </c>
      <c r="L38" s="56" t="s">
        <v>155</v>
      </c>
      <c r="M38" s="57" t="s">
        <v>145</v>
      </c>
      <c r="N38" s="57" t="s">
        <v>107</v>
      </c>
      <c r="O38" s="58" t="s">
        <v>90</v>
      </c>
      <c r="P38" s="59" t="s">
        <v>151</v>
      </c>
    </row>
    <row r="39" spans="1:16" ht="12.75" customHeight="1" thickBot="1">
      <c r="A39" s="17" t="str">
        <f t="shared" si="0"/>
        <v>BAVM 212 </v>
      </c>
      <c r="B39" s="6" t="str">
        <f t="shared" si="1"/>
        <v>II</v>
      </c>
      <c r="C39" s="17">
        <f t="shared" si="2"/>
        <v>55050.4316</v>
      </c>
      <c r="D39" s="20" t="str">
        <f t="shared" si="3"/>
        <v>vis</v>
      </c>
      <c r="E39" s="55">
        <f>VLOOKUP(C39,Active!C$21:E$973,3,FALSE)</f>
        <v>27889.847404558954</v>
      </c>
      <c r="F39" s="6" t="s">
        <v>65</v>
      </c>
      <c r="G39" s="20" t="str">
        <f t="shared" si="4"/>
        <v>55050.4316</v>
      </c>
      <c r="H39" s="17">
        <f t="shared" si="5"/>
        <v>27891.5</v>
      </c>
      <c r="I39" s="56" t="s">
        <v>156</v>
      </c>
      <c r="J39" s="57" t="s">
        <v>157</v>
      </c>
      <c r="K39" s="56" t="s">
        <v>158</v>
      </c>
      <c r="L39" s="56" t="s">
        <v>159</v>
      </c>
      <c r="M39" s="57" t="s">
        <v>145</v>
      </c>
      <c r="N39" s="57" t="s">
        <v>107</v>
      </c>
      <c r="O39" s="58" t="s">
        <v>90</v>
      </c>
      <c r="P39" s="59" t="s">
        <v>160</v>
      </c>
    </row>
    <row r="40" spans="1:16" ht="12.75" customHeight="1" thickBot="1">
      <c r="A40" s="17" t="str">
        <f t="shared" si="0"/>
        <v>BAVM 212 </v>
      </c>
      <c r="B40" s="6" t="str">
        <f t="shared" si="1"/>
        <v>II</v>
      </c>
      <c r="C40" s="17">
        <f t="shared" si="2"/>
        <v>55058.4206</v>
      </c>
      <c r="D40" s="20" t="str">
        <f t="shared" si="3"/>
        <v>vis</v>
      </c>
      <c r="E40" s="55">
        <f>VLOOKUP(C40,Active!C$21:E$973,3,FALSE)</f>
        <v>27899.847082545133</v>
      </c>
      <c r="F40" s="6" t="s">
        <v>65</v>
      </c>
      <c r="G40" s="20" t="str">
        <f t="shared" si="4"/>
        <v>55058.4206</v>
      </c>
      <c r="H40" s="17">
        <f t="shared" si="5"/>
        <v>27901.5</v>
      </c>
      <c r="I40" s="56" t="s">
        <v>161</v>
      </c>
      <c r="J40" s="57" t="s">
        <v>162</v>
      </c>
      <c r="K40" s="56" t="s">
        <v>163</v>
      </c>
      <c r="L40" s="56" t="s">
        <v>164</v>
      </c>
      <c r="M40" s="57" t="s">
        <v>145</v>
      </c>
      <c r="N40" s="57" t="s">
        <v>107</v>
      </c>
      <c r="O40" s="58" t="s">
        <v>90</v>
      </c>
      <c r="P40" s="59" t="s">
        <v>160</v>
      </c>
    </row>
    <row r="41" spans="1:16" ht="12.75" customHeight="1" thickBot="1">
      <c r="A41" s="17" t="str">
        <f t="shared" si="0"/>
        <v>BAVM 212 </v>
      </c>
      <c r="B41" s="6" t="str">
        <f t="shared" si="1"/>
        <v>II</v>
      </c>
      <c r="C41" s="17">
        <f t="shared" si="2"/>
        <v>55062.4149</v>
      </c>
      <c r="D41" s="20" t="str">
        <f t="shared" si="3"/>
        <v>vis</v>
      </c>
      <c r="E41" s="55">
        <f>VLOOKUP(C41,Active!C$21:E$973,3,FALSE)</f>
        <v>27904.84667120207</v>
      </c>
      <c r="F41" s="6" t="s">
        <v>65</v>
      </c>
      <c r="G41" s="20" t="str">
        <f t="shared" si="4"/>
        <v>55062.4149</v>
      </c>
      <c r="H41" s="17">
        <f t="shared" si="5"/>
        <v>27906.5</v>
      </c>
      <c r="I41" s="56" t="s">
        <v>165</v>
      </c>
      <c r="J41" s="57" t="s">
        <v>166</v>
      </c>
      <c r="K41" s="56" t="s">
        <v>167</v>
      </c>
      <c r="L41" s="56" t="s">
        <v>168</v>
      </c>
      <c r="M41" s="57" t="s">
        <v>145</v>
      </c>
      <c r="N41" s="57" t="s">
        <v>107</v>
      </c>
      <c r="O41" s="58" t="s">
        <v>90</v>
      </c>
      <c r="P41" s="59" t="s">
        <v>160</v>
      </c>
    </row>
    <row r="42" spans="1:16" ht="12.75" customHeight="1" thickBot="1">
      <c r="A42" s="17" t="str">
        <f t="shared" si="0"/>
        <v>BAVM 212 </v>
      </c>
      <c r="B42" s="6" t="str">
        <f t="shared" si="1"/>
        <v>II</v>
      </c>
      <c r="C42" s="17">
        <f t="shared" si="2"/>
        <v>55141.5086</v>
      </c>
      <c r="D42" s="20" t="str">
        <f t="shared" si="3"/>
        <v>vis</v>
      </c>
      <c r="E42" s="55">
        <f>VLOOKUP(C42,Active!C$21:E$973,3,FALSE)</f>
        <v>28003.8467376354</v>
      </c>
      <c r="F42" s="6" t="s">
        <v>65</v>
      </c>
      <c r="G42" s="20" t="str">
        <f t="shared" si="4"/>
        <v>55141.5086</v>
      </c>
      <c r="H42" s="17">
        <f t="shared" si="5"/>
        <v>28005.5</v>
      </c>
      <c r="I42" s="56" t="s">
        <v>175</v>
      </c>
      <c r="J42" s="57" t="s">
        <v>176</v>
      </c>
      <c r="K42" s="56" t="s">
        <v>177</v>
      </c>
      <c r="L42" s="56" t="s">
        <v>178</v>
      </c>
      <c r="M42" s="57" t="s">
        <v>145</v>
      </c>
      <c r="N42" s="57" t="s">
        <v>107</v>
      </c>
      <c r="O42" s="58" t="s">
        <v>179</v>
      </c>
      <c r="P42" s="59" t="s">
        <v>160</v>
      </c>
    </row>
    <row r="43" spans="1:16" ht="12.75" customHeight="1" thickBot="1">
      <c r="A43" s="17" t="str">
        <f t="shared" si="0"/>
        <v>BAVM 225 </v>
      </c>
      <c r="B43" s="6" t="str">
        <f t="shared" si="1"/>
        <v>I</v>
      </c>
      <c r="C43" s="17">
        <f t="shared" si="2"/>
        <v>55815.4039</v>
      </c>
      <c r="D43" s="20" t="str">
        <f t="shared" si="3"/>
        <v>vis</v>
      </c>
      <c r="E43" s="55">
        <f>VLOOKUP(C43,Active!C$21:E$973,3,FALSE)</f>
        <v>28847.348552180803</v>
      </c>
      <c r="F43" s="6" t="s">
        <v>65</v>
      </c>
      <c r="G43" s="20" t="str">
        <f t="shared" si="4"/>
        <v>55815.4039</v>
      </c>
      <c r="H43" s="17">
        <f t="shared" si="5"/>
        <v>28849</v>
      </c>
      <c r="I43" s="56" t="s">
        <v>189</v>
      </c>
      <c r="J43" s="57" t="s">
        <v>190</v>
      </c>
      <c r="K43" s="56" t="s">
        <v>191</v>
      </c>
      <c r="L43" s="56" t="s">
        <v>192</v>
      </c>
      <c r="M43" s="57" t="s">
        <v>145</v>
      </c>
      <c r="N43" s="57" t="s">
        <v>107</v>
      </c>
      <c r="O43" s="58" t="s">
        <v>90</v>
      </c>
      <c r="P43" s="59" t="s">
        <v>193</v>
      </c>
    </row>
    <row r="44" spans="1:16" ht="12.75" customHeight="1" thickBot="1">
      <c r="A44" s="17" t="str">
        <f t="shared" si="0"/>
        <v>BAVM 225 </v>
      </c>
      <c r="B44" s="6" t="str">
        <f t="shared" si="1"/>
        <v>II</v>
      </c>
      <c r="C44" s="17">
        <f t="shared" si="2"/>
        <v>55849.3554</v>
      </c>
      <c r="D44" s="20" t="str">
        <f t="shared" si="3"/>
        <v>vis</v>
      </c>
      <c r="E44" s="55">
        <f>VLOOKUP(C44,Active!C$21:E$973,3,FALSE)</f>
        <v>28889.844993180675</v>
      </c>
      <c r="F44" s="6" t="s">
        <v>65</v>
      </c>
      <c r="G44" s="20" t="str">
        <f t="shared" si="4"/>
        <v>55849.3554</v>
      </c>
      <c r="H44" s="17">
        <f t="shared" si="5"/>
        <v>28891.5</v>
      </c>
      <c r="I44" s="56" t="s">
        <v>194</v>
      </c>
      <c r="J44" s="57" t="s">
        <v>195</v>
      </c>
      <c r="K44" s="56" t="s">
        <v>196</v>
      </c>
      <c r="L44" s="56" t="s">
        <v>197</v>
      </c>
      <c r="M44" s="57" t="s">
        <v>145</v>
      </c>
      <c r="N44" s="57" t="s">
        <v>107</v>
      </c>
      <c r="O44" s="58" t="s">
        <v>90</v>
      </c>
      <c r="P44" s="59" t="s">
        <v>193</v>
      </c>
    </row>
    <row r="45" spans="1:16" ht="12.75" customHeight="1" thickBot="1">
      <c r="A45" s="17" t="str">
        <f t="shared" si="0"/>
        <v>BAVM 225 </v>
      </c>
      <c r="B45" s="6" t="str">
        <f t="shared" si="1"/>
        <v>I</v>
      </c>
      <c r="C45" s="17">
        <f t="shared" si="2"/>
        <v>55851.358</v>
      </c>
      <c r="D45" s="20" t="str">
        <f t="shared" si="3"/>
        <v>vis</v>
      </c>
      <c r="E45" s="55">
        <f>VLOOKUP(C45,Active!C$21:E$973,3,FALSE)</f>
        <v>28892.351609169553</v>
      </c>
      <c r="F45" s="6" t="s">
        <v>65</v>
      </c>
      <c r="G45" s="20" t="str">
        <f t="shared" si="4"/>
        <v>55851.3580</v>
      </c>
      <c r="H45" s="17">
        <f t="shared" si="5"/>
        <v>28894</v>
      </c>
      <c r="I45" s="56" t="s">
        <v>198</v>
      </c>
      <c r="J45" s="57" t="s">
        <v>199</v>
      </c>
      <c r="K45" s="56" t="s">
        <v>200</v>
      </c>
      <c r="L45" s="56" t="s">
        <v>201</v>
      </c>
      <c r="M45" s="57" t="s">
        <v>145</v>
      </c>
      <c r="N45" s="57" t="s">
        <v>107</v>
      </c>
      <c r="O45" s="58" t="s">
        <v>90</v>
      </c>
      <c r="P45" s="59" t="s">
        <v>193</v>
      </c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</sheetData>
  <sheetProtection/>
  <hyperlinks>
    <hyperlink ref="P11" r:id="rId1" display="http://www.bav-astro.de/sfs/BAVM_link.php?BAVMnr=152"/>
    <hyperlink ref="P12" r:id="rId2" display="http://www.bav-astro.de/sfs/BAVM_link.php?BAVMnr=152"/>
    <hyperlink ref="P13" r:id="rId3" display="http://www.bav-astro.de/sfs/BAVM_link.php?BAVMnr=152"/>
    <hyperlink ref="P14" r:id="rId4" display="http://www.bav-astro.de/sfs/BAVM_link.php?BAVMnr=152"/>
    <hyperlink ref="P15" r:id="rId5" display="http://www.bav-astro.de/sfs/BAVM_link.php?BAVMnr=152"/>
    <hyperlink ref="P16" r:id="rId6" display="http://www.bav-astro.de/sfs/BAVM_link.php?BAVMnr=158"/>
    <hyperlink ref="P17" r:id="rId7" display="http://www.bav-astro.de/sfs/BAVM_link.php?BAVMnr=158"/>
    <hyperlink ref="P18" r:id="rId8" display="http://www.konkoly.hu/cgi-bin/IBVS?5502"/>
    <hyperlink ref="P19" r:id="rId9" display="http://www.bav-astro.de/sfs/BAVM_link.php?BAVMnr=173"/>
    <hyperlink ref="P20" r:id="rId10" display="http://www.bav-astro.de/sfs/BAVM_link.php?BAVMnr=173"/>
    <hyperlink ref="P21" r:id="rId11" display="http://www.bav-astro.de/sfs/BAVM_link.php?BAVMnr=173"/>
    <hyperlink ref="P22" r:id="rId12" display="http://www.bav-astro.de/sfs/BAVM_link.php?BAVMnr=173"/>
    <hyperlink ref="P23" r:id="rId13" display="http://www.bav-astro.de/sfs/BAVM_link.php?BAVMnr=173"/>
    <hyperlink ref="P24" r:id="rId14" display="http://www.bav-astro.de/sfs/BAVM_link.php?BAVMnr=178"/>
    <hyperlink ref="P37" r:id="rId15" display="http://www.bav-astro.de/sfs/BAVM_link.php?BAVMnr=203"/>
    <hyperlink ref="P38" r:id="rId16" display="http://www.bav-astro.de/sfs/BAVM_link.php?BAVMnr=203"/>
    <hyperlink ref="P39" r:id="rId17" display="http://www.bav-astro.de/sfs/BAVM_link.php?BAVMnr=212"/>
    <hyperlink ref="P40" r:id="rId18" display="http://www.bav-astro.de/sfs/BAVM_link.php?BAVMnr=212"/>
    <hyperlink ref="P41" r:id="rId19" display="http://www.bav-astro.de/sfs/BAVM_link.php?BAVMnr=212"/>
    <hyperlink ref="P25" r:id="rId20" display="http://www.konkoly.hu/cgi-bin/IBVS?5929"/>
    <hyperlink ref="P42" r:id="rId21" display="http://www.bav-astro.de/sfs/BAVM_link.php?BAVMnr=212"/>
    <hyperlink ref="P26" r:id="rId22" display="http://www.bav-astro.de/sfs/BAVM_link.php?BAVMnr=215"/>
    <hyperlink ref="P27" r:id="rId23" display="http://www.bav-astro.de/sfs/BAVM_link.php?BAVMnr=215"/>
    <hyperlink ref="P43" r:id="rId24" display="http://www.bav-astro.de/sfs/BAVM_link.php?BAVMnr=225"/>
    <hyperlink ref="P44" r:id="rId25" display="http://www.bav-astro.de/sfs/BAVM_link.php?BAVMnr=225"/>
    <hyperlink ref="P45" r:id="rId26" display="http://www.bav-astro.de/sfs/BAVM_link.php?BAVMnr=225"/>
    <hyperlink ref="P28" r:id="rId27" display="http://www.bav-astro.de/sfs/BAVM_link.php?BAVMnr=234"/>
    <hyperlink ref="P29" r:id="rId28" display="http://www.bav-astro.de/sfs/BAVM_link.php?BAVMnr=234"/>
    <hyperlink ref="P30" r:id="rId29" display="http://www.bav-astro.de/sfs/BAVM_link.php?BAVMnr=239"/>
    <hyperlink ref="P31" r:id="rId30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