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<sst xmlns="http://schemas.openxmlformats.org/spreadsheetml/2006/main" count="54" uniqueCount="49">
  <si>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</si>
  <si>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</si>
  <si>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</si>
  <si>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</si>
  <si>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</si>
  <si>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</si>
  <si>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</si>
  <si>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</si>
  <si>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</si>
  <si>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</si>
  <si>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</si>
  <si>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</si>
  <si>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</si>
  <si>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</si>
  <si>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</si>
  <si>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</si>
  <si>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</si>
  <si>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</si>
  <si>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</si>
  <si>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</si>
  <si>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</si>
  <si>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</si>
  <si>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</si>
  <si>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</si>
  <si>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</si>
  <si>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</si>
  <si>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</si>
  <si>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</si>
  <si>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</si>
  <si>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</si>
  <si>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</si>
  <si>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</si>
  <si>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</si>
  <si>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GSC 7821 0523_Lup.xls</t>
  </si>
  <si>
    <t>EW</t>
  </si>
  <si>
    <t>IBVS 5495 Eph.</t>
  </si>
  <si>
    <t>IBVS 5495</t>
  </si>
  <si>
    <t>Lup</t>
  </si>
  <si>
    <t>OS Lup / GSC 7821 0523 / NSV 06917</t>
  </si>
  <si>
    <t>OEJV 0179</t>
  </si>
  <si>
    <t>II</t>
  </si>
  <si>
    <t>pg</t>
  </si>
  <si>
    <t>vis</t>
  </si>
  <si>
    <t>PE</t>
  </si>
  <si>
    <t>CCD</t>
  </si>
  <si>
    <t>Add cycle</t>
  </si>
  <si>
    <t>Old Cycle</t>
  </si>
  <si>
    <t>OEJV 0211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</si>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</sst>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4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3" borderId="5" applyNumberFormat="0" applyFont="0" applyAlignment="0" applyProtection="0"/>
    <xf numFmtId="0" fontId="23" fillId="20" borderId="6" applyNumberFormat="0" applyAlignment="0" applyProtection="0"/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26" fillId="0" borderId="0" xfId="59" applyFont="1">
      <alignment/>
      <protection/>
    </xf>
    <xf numFmtId="0" fontId="26" fillId="0" borderId="0" xfId="59" applyFont="1" applyAlignment="1">
      <alignment horizontal="center"/>
      <protection/>
    </xf>
    <xf numFmtId="0" fontId="26" fillId="0" borderId="0" xfId="59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 Lup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7055082"/>
        <c:axId val="63495739"/>
      </c:scatterChart>
      <c:valAx>
        <c:axId val="705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crossBetween val="midCat"/>
        <c:dispUnits/>
      </c:valAx>
      <c:valAx>
        <c:axId val="63495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5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33</v>
      </c>
      <c r="G1" s="31" t="s">
        <v>34</v>
      </c>
      <c r="H1" s="10" t="s">
        <v>35</v>
      </c>
      <c r="I1" s="32">
        <v>52132.527</v>
      </c>
      <c r="J1" s="32">
        <v>0.374131</v>
      </c>
      <c r="K1" s="33" t="s">
        <v>36</v>
      </c>
      <c r="L1" s="29" t="s">
        <v>37</v>
      </c>
    </row>
    <row r="2" spans="1:4" ht="12.75">
      <c r="A2" t="s">
        <v>22</v>
      </c>
      <c r="B2" t="s">
        <v>34</v>
      </c>
      <c r="C2" s="9" t="s">
        <v>37</v>
      </c>
      <c r="D2" t="s">
        <v>33</v>
      </c>
    </row>
    <row r="3" ht="13.5" thickBot="1"/>
    <row r="4" spans="1:4" ht="14.25" thickBot="1" thickTop="1">
      <c r="A4" s="28" t="s">
        <v>35</v>
      </c>
      <c r="C4" s="7">
        <v>52132.527</v>
      </c>
      <c r="D4" s="8">
        <v>0.374131</v>
      </c>
    </row>
    <row r="5" spans="1:4" ht="13.5" thickTop="1">
      <c r="A5" s="10" t="s">
        <v>27</v>
      </c>
      <c r="B5" s="11"/>
      <c r="C5" s="12">
        <v>-9.5</v>
      </c>
      <c r="D5" s="11" t="s">
        <v>28</v>
      </c>
    </row>
    <row r="6" ht="12.75">
      <c r="A6" s="4" t="s">
        <v>0</v>
      </c>
    </row>
    <row r="7" spans="1:3" ht="12.75">
      <c r="A7" t="s">
        <v>1</v>
      </c>
      <c r="C7">
        <f>+C4</f>
        <v>52132.527</v>
      </c>
    </row>
    <row r="8" spans="1:3" ht="12.75">
      <c r="A8" t="s">
        <v>2</v>
      </c>
      <c r="C8">
        <f>+D4</f>
        <v>0.374131</v>
      </c>
    </row>
    <row r="9" spans="1:4" ht="12.75">
      <c r="A9" s="26" t="s">
        <v>32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1"/>
      <c r="B10" s="11"/>
      <c r="C10" s="3" t="s">
        <v>18</v>
      </c>
      <c r="D10" s="3" t="s">
        <v>19</v>
      </c>
      <c r="E10" s="11"/>
    </row>
    <row r="11" spans="1:5" ht="12.75">
      <c r="A11" s="11" t="s">
        <v>14</v>
      </c>
      <c r="B11" s="11"/>
      <c r="C11" s="23">
        <f ca="1">INTERCEPT(INDIRECT($D$9):G992,INDIRECT($C$9):F992)</f>
        <v>-2.523158708907583E-05</v>
      </c>
      <c r="D11" s="13"/>
      <c r="E11" s="11"/>
    </row>
    <row r="12" spans="1:5" ht="12.75">
      <c r="A12" s="11" t="s">
        <v>15</v>
      </c>
      <c r="B12" s="11"/>
      <c r="C12" s="23">
        <f ca="1">SLOPE(INDIRECT($D$9):G992,INDIRECT($C$9):F992)</f>
        <v>2.683241397415165E-06</v>
      </c>
      <c r="D12" s="13"/>
      <c r="E12" s="11"/>
    </row>
    <row r="13" spans="1:3" ht="12.75">
      <c r="A13" s="11" t="s">
        <v>17</v>
      </c>
      <c r="B13" s="11"/>
      <c r="C13" s="13" t="s">
        <v>12</v>
      </c>
    </row>
    <row r="14" spans="1:3" ht="12.75">
      <c r="A14" s="11"/>
      <c r="B14" s="11"/>
      <c r="C14" s="11"/>
    </row>
    <row r="15" spans="1:6" ht="12.75">
      <c r="A15" s="14" t="s">
        <v>16</v>
      </c>
      <c r="B15" s="11"/>
      <c r="C15" s="15">
        <f>(C7+C11)+(C8+C12)*INT(MAX(F21:F3533))</f>
        <v>57892.68916195297</v>
      </c>
      <c r="E15" s="16" t="s">
        <v>45</v>
      </c>
      <c r="F15" s="34">
        <v>1</v>
      </c>
    </row>
    <row r="16" spans="1:6" ht="12.75">
      <c r="A16" s="18" t="s">
        <v>3</v>
      </c>
      <c r="B16" s="11"/>
      <c r="C16" s="19">
        <f>+C8+C12</f>
        <v>0.3741336832413974</v>
      </c>
      <c r="E16" s="16" t="s">
        <v>29</v>
      </c>
      <c r="F16" s="35">
        <f ca="1">NOW()+15018.5+$C$5/24</f>
        <v>59903.63063854166</v>
      </c>
    </row>
    <row r="17" spans="1:6" ht="13.5" thickBot="1">
      <c r="A17" s="16" t="s">
        <v>26</v>
      </c>
      <c r="B17" s="11"/>
      <c r="C17" s="11">
        <f>COUNT(C21:C2191)</f>
        <v>3</v>
      </c>
      <c r="E17" s="16" t="s">
        <v>46</v>
      </c>
      <c r="F17" s="17">
        <f>ROUND(2*(F16-$C$7)/$C$8,0)/2+F15</f>
        <v>20772</v>
      </c>
    </row>
    <row r="18" spans="1:6" ht="14.25" thickBot="1" thickTop="1">
      <c r="A18" s="18" t="s">
        <v>4</v>
      </c>
      <c r="B18" s="11"/>
      <c r="C18" s="21">
        <f>+C15</f>
        <v>57892.68916195297</v>
      </c>
      <c r="D18" s="22">
        <f>+C16</f>
        <v>0.3741336832413974</v>
      </c>
      <c r="E18" s="16" t="s">
        <v>30</v>
      </c>
      <c r="F18" s="25">
        <f>ROUND(2*(F16-$C$15)/$C$16,0)/2+F15</f>
        <v>5376</v>
      </c>
    </row>
    <row r="19" spans="5:6" ht="13.5" thickTop="1">
      <c r="E19" s="16" t="s">
        <v>31</v>
      </c>
      <c r="F19" s="20">
        <f>+$C$15+$C$16*F18-15018.5-$C$5/24</f>
        <v>44885.92767639206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41</v>
      </c>
      <c r="I20" s="6" t="s">
        <v>42</v>
      </c>
      <c r="J20" s="6" t="s">
        <v>43</v>
      </c>
      <c r="K20" s="6" t="s">
        <v>44</v>
      </c>
      <c r="L20" s="6" t="s">
        <v>23</v>
      </c>
      <c r="M20" s="6" t="s">
        <v>24</v>
      </c>
      <c r="N20" s="6" t="s">
        <v>25</v>
      </c>
      <c r="O20" s="6" t="s">
        <v>21</v>
      </c>
      <c r="P20" s="5" t="s">
        <v>20</v>
      </c>
      <c r="Q20" s="3" t="s">
        <v>13</v>
      </c>
    </row>
    <row r="21" spans="1:17" ht="12.75">
      <c r="A21" t="str">
        <f>$K$1</f>
        <v>IBVS 5495</v>
      </c>
      <c r="C21" s="9">
        <f>+$C$4</f>
        <v>52132.527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-2.523158708907583E-05</v>
      </c>
      <c r="Q21" s="2">
        <f>+C21-15018.5</f>
        <v>37114.027</v>
      </c>
    </row>
    <row r="22" spans="1:18" ht="12.75">
      <c r="A22" s="36" t="s">
        <v>39</v>
      </c>
      <c r="B22" s="37" t="s">
        <v>40</v>
      </c>
      <c r="C22" s="38">
        <v>57177.71949</v>
      </c>
      <c r="D22" s="38">
        <v>0.0001</v>
      </c>
      <c r="E22">
        <f>+(C22-C$7)/C$8</f>
        <v>13485.096102701998</v>
      </c>
      <c r="F22">
        <f>ROUND(2*E22,0)/2</f>
        <v>13485</v>
      </c>
      <c r="G22">
        <f>+C22-(C$7+F22*C$8)</f>
        <v>0.035954999999376014</v>
      </c>
      <c r="K22">
        <f>+G22</f>
        <v>0.035954999999376014</v>
      </c>
      <c r="O22">
        <f>+C$11+C$12*$F22</f>
        <v>0.03615827865705443</v>
      </c>
      <c r="Q22" s="2">
        <f>+C22-15018.5</f>
        <v>42159.21949</v>
      </c>
      <c r="R22">
        <f>IF(ABS(C22-C21)&lt;0.00001,1,"")</f>
      </c>
    </row>
    <row r="23" spans="1:17" ht="12.75">
      <c r="A23" s="39" t="s">
        <v>47</v>
      </c>
      <c r="B23" s="40" t="s">
        <v>48</v>
      </c>
      <c r="C23" s="41">
        <v>57892.68934000004</v>
      </c>
      <c r="D23" s="41">
        <v>0</v>
      </c>
      <c r="E23">
        <f>+(C23-C$7)/C$8</f>
        <v>15396.11082749101</v>
      </c>
      <c r="F23">
        <f>ROUND(2*E23,0)/2</f>
        <v>15396</v>
      </c>
      <c r="G23">
        <f>+C23-(C$7+F23*C$8)</f>
        <v>0.04146400003810413</v>
      </c>
      <c r="K23">
        <f>+G23</f>
        <v>0.04146400003810413</v>
      </c>
      <c r="O23">
        <f>+C$11+C$12*$F23</f>
        <v>0.041285952967514805</v>
      </c>
      <c r="Q23" s="2">
        <f>+C23-15018.5</f>
        <v>42874.18934000004</v>
      </c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23:D23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2022-11-20T02:08:07Z</dcterms:modified>
  <cp:category/>
  <cp:version/>
  <cp:contentType/>
  <cp:contentStatus/>
</cp:coreProperties>
</file>