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<sst xmlns="http://schemas.openxmlformats.org/spreadsheetml/2006/main" count="350" uniqueCount="161">
  <si>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</si>
  <si>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</si>
  <si>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</si>
  <si>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</si>
  <si>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</si>
  <si>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</si>
  <si>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</si>
  <si>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</si>
  <si>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</si>
  <si>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</si>
  <si>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</si>
  <si>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</si>
  <si>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</si>
  <si>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</si>
  <si>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</si>
  <si>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</si>
  <si>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</si>
  <si>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</si>
  <si>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</si>
  <si>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</si>
  <si>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</si>
  <si>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</si>
  <si>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</si>
  <si>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</si>
  <si>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</si>
  <si>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</si>
  <si>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</si>
  <si>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</si>
  <si>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</si>
  <si>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</si>
  <si>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</si>
  <si>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</si>
  <si>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4888</t>
  </si>
  <si>
    <t>IBVS 8887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</si>
  <si>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</si>
  <si>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</si>
  <si>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</si>
  <si>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</si>
  <si>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</si>
  <si>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</si>
  <si>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</si>
  <si>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</si>
  <si>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</si>
  <si>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</si>
  <si>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</si>
  <si>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</si>
  <si>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</si>
  <si>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</si>
  <si>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</si>
  <si>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</si>
  <si>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</si>
  <si>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</si>
  <si>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2436074.37 </t>
  </si>
  <si>
    <t> 23.08.1957 20:52 </t>
  </si>
  <si>
    <t> -0.01 </t>
  </si>
  <si>
    <t>P </t>
  </si>
  <si>
    <t> W.Zessewitsch </t>
  </si>
  <si>
    <t> PZP 4.82 </t>
  </si>
  <si>
    <t>2437902.30 </t>
  </si>
  <si>
    <t> 25.08.1962 19:12 </t>
  </si>
  <si>
    <t> -0.04 </t>
  </si>
  <si>
    <t>2438261.41 </t>
  </si>
  <si>
    <t> 19.08.1963 21:50 </t>
  </si>
  <si>
    <t> -0.07 </t>
  </si>
  <si>
    <t>2438268.37 </t>
  </si>
  <si>
    <t> 26.08.1963 20:52 </t>
  </si>
  <si>
    <t> -0.02 </t>
  </si>
  <si>
    <t>2438678.21 </t>
  </si>
  <si>
    <t> 09.10.1964 17:02 </t>
  </si>
  <si>
    <t> 0.03 </t>
  </si>
  <si>
    <t>2438825.56 </t>
  </si>
  <si>
    <t> 06.03.1965 01:26 </t>
  </si>
  <si>
    <t> 0.04 </t>
  </si>
  <si>
    <t>2438938.39 </t>
  </si>
  <si>
    <t> 26.06.1965 21:21 </t>
  </si>
  <si>
    <t> 0.06 </t>
  </si>
  <si>
    <t>2439030.38 </t>
  </si>
  <si>
    <t> 26.09.1965 21:07 </t>
  </si>
  <si>
    <t>2439297.42 </t>
  </si>
  <si>
    <t> 20.06.1966 22:04 </t>
  </si>
  <si>
    <t> -0.05 </t>
  </si>
  <si>
    <t>2439380.38 </t>
  </si>
  <si>
    <t> 11.09.1966 21:07 </t>
  </si>
  <si>
    <t>2439410.31 </t>
  </si>
  <si>
    <t> 11.10.1966 19:26 </t>
  </si>
  <si>
    <t>2439417.23 </t>
  </si>
  <si>
    <t> 18.10.1966 17:31 </t>
  </si>
  <si>
    <t>2439647.37 </t>
  </si>
  <si>
    <t> 05.06.1967 20:52 </t>
  </si>
  <si>
    <t>2439677.37 </t>
  </si>
  <si>
    <t> 05.07.1967 20:52 </t>
  </si>
  <si>
    <t>2439716.50 </t>
  </si>
  <si>
    <t> 14.08.1967 00:00 </t>
  </si>
  <si>
    <t> 0.02 </t>
  </si>
  <si>
    <t>2439739.44 </t>
  </si>
  <si>
    <t> 05.09.1967 22:33 </t>
  </si>
  <si>
    <t> -0.06 </t>
  </si>
  <si>
    <t>2439769.34 </t>
  </si>
  <si>
    <t> 05.10.1967 20:09 </t>
  </si>
  <si>
    <t> -0.09 </t>
  </si>
  <si>
    <t>2439953.56 </t>
  </si>
  <si>
    <t> 07.04.1968 01:26 </t>
  </si>
  <si>
    <t>2440036.41 </t>
  </si>
  <si>
    <t> 28.06.1968 21:50 </t>
  </si>
  <si>
    <t>2440386.46 </t>
  </si>
  <si>
    <t> 13.06.1969 23:02 </t>
  </si>
  <si>
    <t>2440775.42 </t>
  </si>
  <si>
    <t> 07.07.1970 22:04 </t>
  </si>
  <si>
    <t>2440828.39 </t>
  </si>
  <si>
    <t> 29.08.1970 21:21 </t>
  </si>
  <si>
    <t>2441887.38 </t>
  </si>
  <si>
    <t> 23.07.1973 21:07 </t>
  </si>
  <si>
    <t> -0.08 </t>
  </si>
  <si>
    <t>2441917.34 </t>
  </si>
  <si>
    <t> 22.08.1973 20:09 </t>
  </si>
  <si>
    <t>2450343.4255 </t>
  </si>
  <si>
    <t> 16.09.1996 22:12 </t>
  </si>
  <si>
    <t> -0.0348 </t>
  </si>
  <si>
    <t>E </t>
  </si>
  <si>
    <t>?</t>
  </si>
  <si>
    <t> R.Diethelm </t>
  </si>
  <si>
    <t> BBS 113 </t>
  </si>
  <si>
    <t>2450686.4243 </t>
  </si>
  <si>
    <t> 25.08.1997 22:10 </t>
  </si>
  <si>
    <t> -0.0647 </t>
  </si>
  <si>
    <t> J.Safar </t>
  </si>
  <si>
    <t>IBVS 4887 </t>
  </si>
  <si>
    <t>2451142.2704 </t>
  </si>
  <si>
    <t> 24.11.1998 18:29 </t>
  </si>
  <si>
    <t> -0.0555 </t>
  </si>
  <si>
    <t> M.Zejda </t>
  </si>
  <si>
    <t>IBVS 4888 </t>
  </si>
  <si>
    <t>2451432.332 </t>
  </si>
  <si>
    <t> 10.09.1999 19:58 </t>
  </si>
  <si>
    <t> -0.072 </t>
  </si>
  <si>
    <t> BBS 121 </t>
  </si>
  <si>
    <t>2451798.368 </t>
  </si>
  <si>
    <t> 10.09.2000 20:49 </t>
  </si>
  <si>
    <t> -0.087 </t>
  </si>
  <si>
    <t> BBS 123 </t>
  </si>
  <si>
    <t>2452065.413 </t>
  </si>
  <si>
    <t> 04.06.2001 21:54 </t>
  </si>
  <si>
    <t> -0.098 </t>
  </si>
  <si>
    <t> BBS 125 </t>
  </si>
  <si>
    <t>2455790.4155 </t>
  </si>
  <si>
    <t> 16.08.2011 21:58 </t>
  </si>
  <si>
    <t> -0.0651 </t>
  </si>
  <si>
    <t>C </t>
  </si>
  <si>
    <t>-I</t>
  </si>
  <si>
    <t> F.Agerer </t>
  </si>
  <si>
    <t>BAVM 225 </t>
  </si>
  <si>
    <t>2456918.5250 </t>
  </si>
  <si>
    <t> 18.09.2014 00:36 </t>
  </si>
  <si>
    <t>9054</t>
  </si>
  <si>
    <t> -0.0367 </t>
  </si>
  <si>
    <t>BAVM 239 </t>
  </si>
  <si>
    <t>I</t>
  </si>
  <si>
    <t>Start of linear fit &gt;&gt;&gt;&gt;&gt;&gt;&gt;&gt;&gt;&gt;&gt;&gt;&gt;&gt;&gt;&gt;&gt;&gt;&gt;&gt;&gt;</t>
  </si>
  <si>
    <t>Add cycle</t>
  </si>
  <si>
    <t>Old Cycle</t>
  </si>
  <si>
    <t>ET Lyr / GSC 2662-1437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</si>
</sst>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0.0042</c:v>
                  </c:pt>
                  <c:pt idx="27">
                    <c:v>0.0076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0.0067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0672354"/>
        <c:axId val="7615731"/>
      </c:scatterChart>
      <c:valAx>
        <c:axId val="3067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crossBetween val="midCat"/>
        <c:dispUnits/>
      </c:valAx>
      <c:valAx>
        <c:axId val="761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30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486275" y="0"/>
        <a:ext cx="5895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bav-astro.de/sfs/BAVM_link.php?BAVMnr=225" TargetMode="External" /><Relationship Id="rId4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160</v>
      </c>
    </row>
    <row r="2" spans="1:2" ht="12.75">
      <c r="A2" t="s">
        <v>25</v>
      </c>
      <c r="B2" s="9" t="s">
        <v>31</v>
      </c>
    </row>
    <row r="4" spans="1:4" ht="14.25" thickBot="1" thickTop="1">
      <c r="A4" s="6" t="s">
        <v>0</v>
      </c>
      <c r="C4" s="3">
        <v>36074.385</v>
      </c>
      <c r="D4" s="4">
        <v>2.3022064</v>
      </c>
    </row>
    <row r="5" spans="1:4" ht="13.5" thickTop="1">
      <c r="A5" s="15" t="s">
        <v>35</v>
      </c>
      <c r="B5" s="16"/>
      <c r="C5" s="17">
        <v>-9.5</v>
      </c>
      <c r="D5" s="16" t="s">
        <v>36</v>
      </c>
    </row>
    <row r="6" ht="12.75">
      <c r="A6" s="6" t="s">
        <v>1</v>
      </c>
    </row>
    <row r="7" spans="1:3" ht="12.75">
      <c r="A7" t="s">
        <v>2</v>
      </c>
      <c r="C7">
        <f>+C4</f>
        <v>36074.385</v>
      </c>
    </row>
    <row r="8" spans="1:3" ht="12.75">
      <c r="A8" t="s">
        <v>3</v>
      </c>
      <c r="C8">
        <f>+D4</f>
        <v>2.3022064</v>
      </c>
    </row>
    <row r="9" spans="1:5" ht="12.75">
      <c r="A9" s="46" t="s">
        <v>157</v>
      </c>
      <c r="B9" s="47">
        <v>21</v>
      </c>
      <c r="C9" s="48" t="str">
        <f>"F"&amp;B9</f>
        <v>F21</v>
      </c>
      <c r="D9" s="12" t="str">
        <f>"G"&amp;B9</f>
        <v>G21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5" ht="12.75">
      <c r="A11" s="16" t="s">
        <v>16</v>
      </c>
      <c r="B11" s="16"/>
      <c r="C11" s="49">
        <f ca="1">INTERCEPT(INDIRECT($D$9):G978,INDIRECT($C$9):F978)</f>
        <v>-0.006902543394572091</v>
      </c>
      <c r="D11" s="18"/>
      <c r="E11" s="16"/>
    </row>
    <row r="12" spans="1:5" ht="12.75">
      <c r="A12" s="16" t="s">
        <v>17</v>
      </c>
      <c r="B12" s="16"/>
      <c r="C12" s="49">
        <f ca="1">SLOPE(INDIRECT($D$9):G978,INDIRECT($C$9):F978)</f>
        <v>-8.006011676598539E-06</v>
      </c>
      <c r="D12" s="18"/>
      <c r="E12" s="16"/>
    </row>
    <row r="13" spans="1:5" ht="12.75">
      <c r="A13" s="16" t="s">
        <v>20</v>
      </c>
      <c r="B13" s="16"/>
      <c r="C13" s="18" t="s">
        <v>14</v>
      </c>
      <c r="D13" s="18"/>
      <c r="E13" s="16"/>
    </row>
    <row r="14" spans="1:5" ht="12.75">
      <c r="A14" s="16"/>
      <c r="B14" s="16"/>
      <c r="C14" s="16"/>
      <c r="D14" s="16"/>
      <c r="E14" s="16"/>
    </row>
    <row r="15" spans="1:6" ht="12.75">
      <c r="A15" s="19" t="s">
        <v>18</v>
      </c>
      <c r="B15" s="16"/>
      <c r="C15" s="20">
        <f>(C7+C11)+(C8+C12)*INT(MAX(F21:F3533))</f>
        <v>56918.48235662689</v>
      </c>
      <c r="D15" s="21"/>
      <c r="E15" s="21" t="s">
        <v>158</v>
      </c>
      <c r="F15" s="17">
        <v>1</v>
      </c>
    </row>
    <row r="16" spans="1:6" ht="12.75">
      <c r="A16" s="23" t="s">
        <v>4</v>
      </c>
      <c r="B16" s="16"/>
      <c r="C16" s="24">
        <f>+C8+C12</f>
        <v>2.3021983939883235</v>
      </c>
      <c r="D16" s="21"/>
      <c r="E16" s="21" t="s">
        <v>37</v>
      </c>
      <c r="F16" s="22">
        <f ca="1">NOW()+15018.5+$C$5/24</f>
        <v>59903.67293576388</v>
      </c>
    </row>
    <row r="17" spans="1:6" ht="13.5" thickBot="1">
      <c r="A17" s="21" t="s">
        <v>34</v>
      </c>
      <c r="B17" s="16"/>
      <c r="C17" s="16">
        <f>COUNT(C21:C2191)</f>
        <v>33</v>
      </c>
      <c r="D17" s="21"/>
      <c r="E17" s="21" t="s">
        <v>159</v>
      </c>
      <c r="F17" s="22">
        <f>ROUND(2*(F16-$C$7)/$C$8,0)/2+F15</f>
        <v>10351.5</v>
      </c>
    </row>
    <row r="18" spans="1:6" ht="12.75">
      <c r="A18" s="23" t="s">
        <v>5</v>
      </c>
      <c r="B18" s="16"/>
      <c r="C18" s="26">
        <f>+C15</f>
        <v>56918.48235662689</v>
      </c>
      <c r="D18" s="27">
        <f>+C16</f>
        <v>2.3021983939883235</v>
      </c>
      <c r="E18" s="21" t="s">
        <v>38</v>
      </c>
      <c r="F18" s="12">
        <f>ROUND(2*(F16-$C$15)/$C$16,0)/2+F15</f>
        <v>1297.5</v>
      </c>
    </row>
    <row r="19" spans="5:6" ht="13.5" thickTop="1">
      <c r="E19" s="21" t="s">
        <v>39</v>
      </c>
      <c r="F19" s="25">
        <f>+$C$15+$C$16*F18-15018.5-$C$5/24</f>
        <v>44887.480606160076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s="43" t="s">
        <v>57</v>
      </c>
      <c r="B21" s="45" t="s">
        <v>156</v>
      </c>
      <c r="C21" s="44">
        <v>36074.37</v>
      </c>
      <c r="D21" s="13"/>
      <c r="E21">
        <f aca="true" t="shared" si="0" ref="E21:E53">+(C21-C$7)/C$8</f>
        <v>-0.006515488793453933</v>
      </c>
      <c r="F21">
        <f aca="true" t="shared" si="1" ref="F21:F53">ROUND(2*E21,0)/2</f>
        <v>0</v>
      </c>
      <c r="G21">
        <f>+C21-(C$7+F21*C$8)</f>
        <v>-0.014999999999417923</v>
      </c>
      <c r="K21">
        <f>+G21</f>
        <v>-0.014999999999417923</v>
      </c>
      <c r="O21">
        <f aca="true" t="shared" si="2" ref="O21:O53">+C$11+C$12*$F21</f>
        <v>-0.006902543394572091</v>
      </c>
      <c r="Q21" s="2">
        <f aca="true" t="shared" si="3" ref="Q21:Q53">+C21-15018.5</f>
        <v>21055.870000000003</v>
      </c>
    </row>
    <row r="22" spans="1:17" ht="12.75">
      <c r="A22" t="s">
        <v>12</v>
      </c>
      <c r="C22">
        <f>+C19</f>
        <v>0</v>
      </c>
      <c r="D22" s="13" t="s">
        <v>14</v>
      </c>
      <c r="E22">
        <f t="shared" si="0"/>
        <v>-15669.483413824233</v>
      </c>
      <c r="F22">
        <f t="shared" si="1"/>
        <v>-15669.5</v>
      </c>
      <c r="H22" s="12">
        <v>0</v>
      </c>
      <c r="O22">
        <f t="shared" si="2"/>
        <v>0.11854765657188872</v>
      </c>
      <c r="Q22" s="2">
        <f t="shared" si="3"/>
        <v>-15018.5</v>
      </c>
    </row>
    <row r="23" spans="1:17" ht="12.75">
      <c r="A23" s="43" t="s">
        <v>57</v>
      </c>
      <c r="B23" s="45" t="s">
        <v>156</v>
      </c>
      <c r="C23" s="44">
        <v>37902.3</v>
      </c>
      <c r="D23" s="13"/>
      <c r="E23">
        <f t="shared" si="0"/>
        <v>793.9839798899008</v>
      </c>
      <c r="F23">
        <f t="shared" si="1"/>
        <v>794</v>
      </c>
      <c r="G23">
        <f aca="true" t="shared" si="4" ref="G23:G53">+C23-(C$7+F23*C$8)</f>
        <v>-0.036881599997286685</v>
      </c>
      <c r="K23">
        <f aca="true" t="shared" si="5" ref="K23:K46">+G23</f>
        <v>-0.036881599997286685</v>
      </c>
      <c r="O23">
        <f t="shared" si="2"/>
        <v>-0.01325931666579133</v>
      </c>
      <c r="Q23" s="2">
        <f t="shared" si="3"/>
        <v>22883.800000000003</v>
      </c>
    </row>
    <row r="24" spans="1:17" ht="12.75">
      <c r="A24" s="43" t="s">
        <v>57</v>
      </c>
      <c r="B24" s="45" t="s">
        <v>156</v>
      </c>
      <c r="C24" s="44">
        <v>38261.41</v>
      </c>
      <c r="D24" s="13"/>
      <c r="E24">
        <f t="shared" si="0"/>
        <v>949.9691252704367</v>
      </c>
      <c r="F24">
        <f t="shared" si="1"/>
        <v>950</v>
      </c>
      <c r="G24">
        <f t="shared" si="4"/>
        <v>-0.0710800000015297</v>
      </c>
      <c r="K24">
        <f t="shared" si="5"/>
        <v>-0.0710800000015297</v>
      </c>
      <c r="O24">
        <f t="shared" si="2"/>
        <v>-0.014508254487340702</v>
      </c>
      <c r="Q24" s="2">
        <f t="shared" si="3"/>
        <v>23242.910000000003</v>
      </c>
    </row>
    <row r="25" spans="1:17" ht="12.75">
      <c r="A25" s="43" t="s">
        <v>57</v>
      </c>
      <c r="B25" s="45" t="s">
        <v>156</v>
      </c>
      <c r="C25" s="44">
        <v>38268.37</v>
      </c>
      <c r="D25" s="13"/>
      <c r="E25">
        <f t="shared" si="0"/>
        <v>952.9923120707164</v>
      </c>
      <c r="F25">
        <f t="shared" si="1"/>
        <v>953</v>
      </c>
      <c r="G25">
        <f t="shared" si="4"/>
        <v>-0.017699199997878168</v>
      </c>
      <c r="K25">
        <f t="shared" si="5"/>
        <v>-0.017699199997878168</v>
      </c>
      <c r="O25">
        <f t="shared" si="2"/>
        <v>-0.014532272522370498</v>
      </c>
      <c r="Q25" s="2">
        <f t="shared" si="3"/>
        <v>23249.870000000003</v>
      </c>
    </row>
    <row r="26" spans="1:17" ht="12.75">
      <c r="A26" s="43" t="s">
        <v>57</v>
      </c>
      <c r="B26" s="45" t="s">
        <v>156</v>
      </c>
      <c r="C26" s="44">
        <v>38678.21</v>
      </c>
      <c r="D26" s="13"/>
      <c r="E26">
        <f t="shared" si="0"/>
        <v>1131.0128405515668</v>
      </c>
      <c r="F26">
        <f t="shared" si="1"/>
        <v>1131</v>
      </c>
      <c r="G26">
        <f t="shared" si="4"/>
        <v>0.029561600000306498</v>
      </c>
      <c r="K26">
        <f t="shared" si="5"/>
        <v>0.029561600000306498</v>
      </c>
      <c r="O26">
        <f t="shared" si="2"/>
        <v>-0.015957342600805037</v>
      </c>
      <c r="Q26" s="2">
        <f t="shared" si="3"/>
        <v>23659.71</v>
      </c>
    </row>
    <row r="27" spans="1:17" ht="12.75">
      <c r="A27" s="43" t="s">
        <v>57</v>
      </c>
      <c r="B27" s="45" t="s">
        <v>156</v>
      </c>
      <c r="C27" s="44">
        <v>38825.56</v>
      </c>
      <c r="D27" s="13"/>
      <c r="E27">
        <f t="shared" si="0"/>
        <v>1195.0166588017457</v>
      </c>
      <c r="F27">
        <f t="shared" si="1"/>
        <v>1195</v>
      </c>
      <c r="G27">
        <f t="shared" si="4"/>
        <v>0.03835199999593897</v>
      </c>
      <c r="K27">
        <f t="shared" si="5"/>
        <v>0.03835199999593897</v>
      </c>
      <c r="O27">
        <f t="shared" si="2"/>
        <v>-0.016469727348107345</v>
      </c>
      <c r="Q27" s="2">
        <f t="shared" si="3"/>
        <v>23807.059999999998</v>
      </c>
    </row>
    <row r="28" spans="1:17" ht="12.75">
      <c r="A28" s="43" t="s">
        <v>57</v>
      </c>
      <c r="B28" s="45" t="s">
        <v>156</v>
      </c>
      <c r="C28" s="44">
        <v>38938.39</v>
      </c>
      <c r="D28" s="13"/>
      <c r="E28">
        <f t="shared" si="0"/>
        <v>1244.0261655080087</v>
      </c>
      <c r="F28">
        <f t="shared" si="1"/>
        <v>1244</v>
      </c>
      <c r="G28">
        <f t="shared" si="4"/>
        <v>0.06023839999397751</v>
      </c>
      <c r="K28">
        <f t="shared" si="5"/>
        <v>0.06023839999397751</v>
      </c>
      <c r="O28">
        <f t="shared" si="2"/>
        <v>-0.01686202192026067</v>
      </c>
      <c r="Q28" s="2">
        <f t="shared" si="3"/>
        <v>23919.89</v>
      </c>
    </row>
    <row r="29" spans="1:17" ht="12.75">
      <c r="A29" s="43" t="s">
        <v>57</v>
      </c>
      <c r="B29" s="45" t="s">
        <v>156</v>
      </c>
      <c r="C29" s="44">
        <v>39030.38</v>
      </c>
      <c r="D29" s="13"/>
      <c r="E29">
        <f t="shared" si="0"/>
        <v>1283.9834864502136</v>
      </c>
      <c r="F29">
        <f t="shared" si="1"/>
        <v>1284</v>
      </c>
      <c r="G29">
        <f t="shared" si="4"/>
        <v>-0.03801760000351351</v>
      </c>
      <c r="K29">
        <f t="shared" si="5"/>
        <v>-0.03801760000351351</v>
      </c>
      <c r="O29">
        <f t="shared" si="2"/>
        <v>-0.017182262387324614</v>
      </c>
      <c r="Q29" s="2">
        <f t="shared" si="3"/>
        <v>24011.879999999997</v>
      </c>
    </row>
    <row r="30" spans="1:17" ht="12.75">
      <c r="A30" s="43" t="s">
        <v>57</v>
      </c>
      <c r="B30" s="45" t="s">
        <v>156</v>
      </c>
      <c r="C30" s="44">
        <v>39297.42</v>
      </c>
      <c r="D30" s="13"/>
      <c r="E30">
        <f t="shared" si="0"/>
        <v>1399.9765616149778</v>
      </c>
      <c r="F30">
        <f t="shared" si="1"/>
        <v>1400</v>
      </c>
      <c r="G30">
        <f t="shared" si="4"/>
        <v>-0.053960000004735775</v>
      </c>
      <c r="K30">
        <f t="shared" si="5"/>
        <v>-0.053960000004735775</v>
      </c>
      <c r="O30">
        <f t="shared" si="2"/>
        <v>-0.018110959741810047</v>
      </c>
      <c r="Q30" s="2">
        <f t="shared" si="3"/>
        <v>24278.92</v>
      </c>
    </row>
    <row r="31" spans="1:17" ht="12.75">
      <c r="A31" s="43" t="s">
        <v>57</v>
      </c>
      <c r="B31" s="45" t="s">
        <v>156</v>
      </c>
      <c r="C31" s="44">
        <v>39380.38</v>
      </c>
      <c r="D31" s="13"/>
      <c r="E31">
        <f t="shared" si="0"/>
        <v>1436.0115583033714</v>
      </c>
      <c r="F31">
        <f t="shared" si="1"/>
        <v>1436</v>
      </c>
      <c r="G31">
        <f t="shared" si="4"/>
        <v>0.02660959999775514</v>
      </c>
      <c r="K31">
        <f t="shared" si="5"/>
        <v>0.02660959999775514</v>
      </c>
      <c r="O31">
        <f t="shared" si="2"/>
        <v>-0.01839917616216759</v>
      </c>
      <c r="Q31" s="2">
        <f t="shared" si="3"/>
        <v>24361.879999999997</v>
      </c>
    </row>
    <row r="32" spans="1:17" ht="12.75">
      <c r="A32" s="43" t="s">
        <v>57</v>
      </c>
      <c r="B32" s="45" t="s">
        <v>156</v>
      </c>
      <c r="C32" s="44">
        <v>39410.31</v>
      </c>
      <c r="D32" s="13"/>
      <c r="E32">
        <f t="shared" si="0"/>
        <v>1449.0121302764146</v>
      </c>
      <c r="F32">
        <f t="shared" si="1"/>
        <v>1449</v>
      </c>
      <c r="G32">
        <f t="shared" si="4"/>
        <v>0.027926399998250417</v>
      </c>
      <c r="K32">
        <f t="shared" si="5"/>
        <v>0.027926399998250417</v>
      </c>
      <c r="O32">
        <f t="shared" si="2"/>
        <v>-0.018503254313963373</v>
      </c>
      <c r="Q32" s="2">
        <f t="shared" si="3"/>
        <v>24391.809999999998</v>
      </c>
    </row>
    <row r="33" spans="1:17" ht="12.75">
      <c r="A33" s="43" t="s">
        <v>57</v>
      </c>
      <c r="B33" s="45" t="s">
        <v>156</v>
      </c>
      <c r="C33" s="44">
        <v>39417.23</v>
      </c>
      <c r="D33" s="13"/>
      <c r="E33">
        <f t="shared" si="0"/>
        <v>1452.0179424399137</v>
      </c>
      <c r="F33">
        <f t="shared" si="1"/>
        <v>1452</v>
      </c>
      <c r="G33">
        <f t="shared" si="4"/>
        <v>0.04130720000102883</v>
      </c>
      <c r="K33">
        <f t="shared" si="5"/>
        <v>0.04130720000102883</v>
      </c>
      <c r="O33">
        <f t="shared" si="2"/>
        <v>-0.01852727234899317</v>
      </c>
      <c r="Q33" s="2">
        <f t="shared" si="3"/>
        <v>24398.730000000003</v>
      </c>
    </row>
    <row r="34" spans="1:17" ht="12.75">
      <c r="A34" s="43" t="s">
        <v>57</v>
      </c>
      <c r="B34" s="45" t="s">
        <v>156</v>
      </c>
      <c r="C34" s="44">
        <v>39647.37</v>
      </c>
      <c r="D34" s="13"/>
      <c r="E34">
        <f t="shared" si="0"/>
        <v>1551.9829151721585</v>
      </c>
      <c r="F34">
        <f t="shared" si="1"/>
        <v>1552</v>
      </c>
      <c r="G34">
        <f t="shared" si="4"/>
        <v>-0.03933279999910155</v>
      </c>
      <c r="K34">
        <f t="shared" si="5"/>
        <v>-0.03933279999910155</v>
      </c>
      <c r="O34">
        <f t="shared" si="2"/>
        <v>-0.01932787351665302</v>
      </c>
      <c r="Q34" s="2">
        <f t="shared" si="3"/>
        <v>24628.870000000003</v>
      </c>
    </row>
    <row r="35" spans="1:17" ht="12.75">
      <c r="A35" s="43" t="s">
        <v>57</v>
      </c>
      <c r="B35" s="45" t="s">
        <v>156</v>
      </c>
      <c r="C35" s="44">
        <v>39677.37</v>
      </c>
      <c r="D35" s="13"/>
      <c r="E35">
        <f t="shared" si="0"/>
        <v>1565.013892759572</v>
      </c>
      <c r="F35">
        <f t="shared" si="1"/>
        <v>1565</v>
      </c>
      <c r="G35">
        <f t="shared" si="4"/>
        <v>0.031984000001102686</v>
      </c>
      <c r="K35">
        <f t="shared" si="5"/>
        <v>0.031984000001102686</v>
      </c>
      <c r="O35">
        <f t="shared" si="2"/>
        <v>-0.019431951668448806</v>
      </c>
      <c r="Q35" s="2">
        <f t="shared" si="3"/>
        <v>24658.870000000003</v>
      </c>
    </row>
    <row r="36" spans="1:17" ht="12.75">
      <c r="A36" s="43" t="s">
        <v>57</v>
      </c>
      <c r="B36" s="45" t="s">
        <v>156</v>
      </c>
      <c r="C36" s="44">
        <v>39716.5</v>
      </c>
      <c r="D36" s="13"/>
      <c r="E36">
        <f t="shared" si="0"/>
        <v>1582.0106311927539</v>
      </c>
      <c r="F36">
        <f t="shared" si="1"/>
        <v>1582</v>
      </c>
      <c r="G36">
        <f t="shared" si="4"/>
        <v>0.0244751999998698</v>
      </c>
      <c r="K36">
        <f t="shared" si="5"/>
        <v>0.0244751999998698</v>
      </c>
      <c r="O36">
        <f t="shared" si="2"/>
        <v>-0.019568053866950978</v>
      </c>
      <c r="Q36" s="2">
        <f t="shared" si="3"/>
        <v>24698</v>
      </c>
    </row>
    <row r="37" spans="1:17" ht="12.75">
      <c r="A37" s="43" t="s">
        <v>57</v>
      </c>
      <c r="B37" s="45" t="s">
        <v>156</v>
      </c>
      <c r="C37" s="44">
        <v>39739.44</v>
      </c>
      <c r="D37" s="13"/>
      <c r="E37">
        <f t="shared" si="0"/>
        <v>1591.9749853879305</v>
      </c>
      <c r="F37">
        <f t="shared" si="1"/>
        <v>1592</v>
      </c>
      <c r="G37">
        <f t="shared" si="4"/>
        <v>-0.0575888000021223</v>
      </c>
      <c r="K37">
        <f t="shared" si="5"/>
        <v>-0.0575888000021223</v>
      </c>
      <c r="O37">
        <f t="shared" si="2"/>
        <v>-0.019648113983716964</v>
      </c>
      <c r="Q37" s="2">
        <f t="shared" si="3"/>
        <v>24720.940000000002</v>
      </c>
    </row>
    <row r="38" spans="1:17" ht="12.75">
      <c r="A38" s="43" t="s">
        <v>57</v>
      </c>
      <c r="B38" s="45" t="s">
        <v>156</v>
      </c>
      <c r="C38" s="44">
        <v>39769.34</v>
      </c>
      <c r="D38" s="13"/>
      <c r="E38">
        <f t="shared" si="0"/>
        <v>1604.9625263833834</v>
      </c>
      <c r="F38">
        <f t="shared" si="1"/>
        <v>1605</v>
      </c>
      <c r="G38">
        <f t="shared" si="4"/>
        <v>-0.08627200000773882</v>
      </c>
      <c r="K38">
        <f t="shared" si="5"/>
        <v>-0.08627200000773882</v>
      </c>
      <c r="O38">
        <f t="shared" si="2"/>
        <v>-0.019752192135512745</v>
      </c>
      <c r="Q38" s="2">
        <f t="shared" si="3"/>
        <v>24750.839999999997</v>
      </c>
    </row>
    <row r="39" spans="1:17" ht="12.75">
      <c r="A39" s="43" t="s">
        <v>57</v>
      </c>
      <c r="B39" s="45" t="s">
        <v>156</v>
      </c>
      <c r="C39" s="44">
        <v>39953.56</v>
      </c>
      <c r="D39" s="13"/>
      <c r="E39">
        <f t="shared" si="0"/>
        <v>1684.9814160884946</v>
      </c>
      <c r="F39">
        <f t="shared" si="1"/>
        <v>1685</v>
      </c>
      <c r="G39">
        <f t="shared" si="4"/>
        <v>-0.04278400000475813</v>
      </c>
      <c r="K39">
        <f t="shared" si="5"/>
        <v>-0.04278400000475813</v>
      </c>
      <c r="O39">
        <f t="shared" si="2"/>
        <v>-0.020392673069640627</v>
      </c>
      <c r="Q39" s="2">
        <f t="shared" si="3"/>
        <v>24935.059999999998</v>
      </c>
    </row>
    <row r="40" spans="1:17" ht="12.75">
      <c r="A40" s="43" t="s">
        <v>57</v>
      </c>
      <c r="B40" s="45" t="s">
        <v>156</v>
      </c>
      <c r="C40" s="44">
        <v>40036.41</v>
      </c>
      <c r="D40" s="13"/>
      <c r="E40">
        <f t="shared" si="0"/>
        <v>1720.9686325257376</v>
      </c>
      <c r="F40">
        <f t="shared" si="1"/>
        <v>1721</v>
      </c>
      <c r="G40">
        <f t="shared" si="4"/>
        <v>-0.07221439999557333</v>
      </c>
      <c r="K40">
        <f t="shared" si="5"/>
        <v>-0.07221439999557333</v>
      </c>
      <c r="O40">
        <f t="shared" si="2"/>
        <v>-0.020680889489998175</v>
      </c>
      <c r="Q40" s="2">
        <f t="shared" si="3"/>
        <v>25017.910000000003</v>
      </c>
    </row>
    <row r="41" spans="1:17" ht="12.75">
      <c r="A41" s="43" t="s">
        <v>57</v>
      </c>
      <c r="B41" s="45" t="s">
        <v>156</v>
      </c>
      <c r="C41" s="44">
        <v>40386.46</v>
      </c>
      <c r="D41" s="13"/>
      <c r="E41">
        <f t="shared" si="0"/>
        <v>1873.0184226748725</v>
      </c>
      <c r="F41">
        <f t="shared" si="1"/>
        <v>1873</v>
      </c>
      <c r="G41">
        <f t="shared" si="4"/>
        <v>0.042412799994053785</v>
      </c>
      <c r="K41">
        <f t="shared" si="5"/>
        <v>0.042412799994053785</v>
      </c>
      <c r="O41">
        <f t="shared" si="2"/>
        <v>-0.021897803264841153</v>
      </c>
      <c r="Q41" s="2">
        <f t="shared" si="3"/>
        <v>25367.96</v>
      </c>
    </row>
    <row r="42" spans="1:17" ht="12.75">
      <c r="A42" s="43" t="s">
        <v>57</v>
      </c>
      <c r="B42" s="45" t="s">
        <v>156</v>
      </c>
      <c r="C42" s="44">
        <v>40775.42</v>
      </c>
      <c r="D42" s="13"/>
      <c r="E42">
        <f t="shared" si="0"/>
        <v>2041.9693907548844</v>
      </c>
      <c r="F42">
        <f t="shared" si="1"/>
        <v>2042</v>
      </c>
      <c r="G42">
        <f t="shared" si="4"/>
        <v>-0.07046880000416422</v>
      </c>
      <c r="K42">
        <f t="shared" si="5"/>
        <v>-0.07046880000416422</v>
      </c>
      <c r="O42">
        <f t="shared" si="2"/>
        <v>-0.023250819238186306</v>
      </c>
      <c r="Q42" s="2">
        <f t="shared" si="3"/>
        <v>25756.92</v>
      </c>
    </row>
    <row r="43" spans="1:17" ht="12.75">
      <c r="A43" s="43" t="s">
        <v>57</v>
      </c>
      <c r="B43" s="45" t="s">
        <v>156</v>
      </c>
      <c r="C43" s="44">
        <v>40828.39</v>
      </c>
      <c r="D43" s="13"/>
      <c r="E43">
        <f t="shared" si="0"/>
        <v>2064.9777535150615</v>
      </c>
      <c r="F43">
        <f t="shared" si="1"/>
        <v>2065</v>
      </c>
      <c r="G43">
        <f t="shared" si="4"/>
        <v>-0.051216000007116236</v>
      </c>
      <c r="K43">
        <f t="shared" si="5"/>
        <v>-0.051216000007116236</v>
      </c>
      <c r="O43">
        <f t="shared" si="2"/>
        <v>-0.023434957506748073</v>
      </c>
      <c r="Q43" s="2">
        <f t="shared" si="3"/>
        <v>25809.89</v>
      </c>
    </row>
    <row r="44" spans="1:17" ht="12.75">
      <c r="A44" s="43" t="s">
        <v>57</v>
      </c>
      <c r="B44" s="45" t="s">
        <v>156</v>
      </c>
      <c r="C44" s="44">
        <v>41887.38</v>
      </c>
      <c r="D44" s="13"/>
      <c r="E44">
        <f t="shared" si="0"/>
        <v>2524.9669186915626</v>
      </c>
      <c r="F44">
        <f t="shared" si="1"/>
        <v>2525</v>
      </c>
      <c r="G44">
        <f t="shared" si="4"/>
        <v>-0.07616000000416534</v>
      </c>
      <c r="K44">
        <f t="shared" si="5"/>
        <v>-0.07616000000416534</v>
      </c>
      <c r="O44">
        <f t="shared" si="2"/>
        <v>-0.0271177228779834</v>
      </c>
      <c r="Q44" s="2">
        <f t="shared" si="3"/>
        <v>26868.879999999997</v>
      </c>
    </row>
    <row r="45" spans="1:17" ht="12.75">
      <c r="A45" s="43" t="s">
        <v>57</v>
      </c>
      <c r="B45" s="45" t="s">
        <v>156</v>
      </c>
      <c r="C45" s="44">
        <v>41917.34</v>
      </c>
      <c r="D45" s="13"/>
      <c r="E45">
        <f t="shared" si="0"/>
        <v>2537.9805216421923</v>
      </c>
      <c r="F45">
        <f t="shared" si="1"/>
        <v>2538</v>
      </c>
      <c r="G45">
        <f t="shared" si="4"/>
        <v>-0.044843200004834216</v>
      </c>
      <c r="K45">
        <f t="shared" si="5"/>
        <v>-0.044843200004834216</v>
      </c>
      <c r="O45">
        <f t="shared" si="2"/>
        <v>-0.027221801029779183</v>
      </c>
      <c r="Q45" s="2">
        <f t="shared" si="3"/>
        <v>26898.839999999997</v>
      </c>
    </row>
    <row r="46" spans="1:17" ht="12.75">
      <c r="A46" s="43" t="s">
        <v>121</v>
      </c>
      <c r="B46" s="45" t="s">
        <v>156</v>
      </c>
      <c r="C46" s="44">
        <v>50343.4255</v>
      </c>
      <c r="D46" s="13"/>
      <c r="E46">
        <f t="shared" si="0"/>
        <v>6197.984898313198</v>
      </c>
      <c r="F46">
        <f t="shared" si="1"/>
        <v>6198</v>
      </c>
      <c r="G46">
        <f t="shared" si="4"/>
        <v>-0.03476720000617206</v>
      </c>
      <c r="K46">
        <f t="shared" si="5"/>
        <v>-0.03476720000617206</v>
      </c>
      <c r="O46">
        <f t="shared" si="2"/>
        <v>-0.05652380376612984</v>
      </c>
      <c r="Q46" s="2">
        <f t="shared" si="3"/>
        <v>35324.9255</v>
      </c>
    </row>
    <row r="47" spans="1:17" ht="12.75">
      <c r="A47" t="s">
        <v>33</v>
      </c>
      <c r="C47" s="13">
        <v>50686.4243</v>
      </c>
      <c r="D47" s="13">
        <v>0.0042</v>
      </c>
      <c r="E47">
        <f t="shared" si="0"/>
        <v>6346.97188749019</v>
      </c>
      <c r="F47">
        <f t="shared" si="1"/>
        <v>6347</v>
      </c>
      <c r="G47">
        <f t="shared" si="4"/>
        <v>-0.06472080000094138</v>
      </c>
      <c r="I47">
        <f>+G47</f>
        <v>-0.06472080000094138</v>
      </c>
      <c r="O47">
        <f t="shared" si="2"/>
        <v>-0.05771669950594302</v>
      </c>
      <c r="Q47" s="2">
        <f t="shared" si="3"/>
        <v>35667.9243</v>
      </c>
    </row>
    <row r="48" spans="1:17" ht="12.75">
      <c r="A48" s="10" t="s">
        <v>32</v>
      </c>
      <c r="B48" s="11"/>
      <c r="C48" s="14">
        <v>51142.2704</v>
      </c>
      <c r="D48" s="14">
        <v>0.0076</v>
      </c>
      <c r="E48">
        <f t="shared" si="0"/>
        <v>6544.975897903853</v>
      </c>
      <c r="F48">
        <f t="shared" si="1"/>
        <v>6545</v>
      </c>
      <c r="G48">
        <f t="shared" si="4"/>
        <v>-0.05548800000542542</v>
      </c>
      <c r="I48">
        <f>+G48</f>
        <v>-0.05548800000542542</v>
      </c>
      <c r="O48">
        <f t="shared" si="2"/>
        <v>-0.05930188981790953</v>
      </c>
      <c r="Q48" s="2">
        <f t="shared" si="3"/>
        <v>36123.7704</v>
      </c>
    </row>
    <row r="49" spans="1:17" ht="12.75">
      <c r="A49" s="43" t="s">
        <v>135</v>
      </c>
      <c r="B49" s="45" t="s">
        <v>156</v>
      </c>
      <c r="C49" s="44">
        <v>51432.332</v>
      </c>
      <c r="D49" s="13"/>
      <c r="E49">
        <f t="shared" si="0"/>
        <v>6670.968771522831</v>
      </c>
      <c r="F49">
        <f t="shared" si="1"/>
        <v>6671</v>
      </c>
      <c r="G49">
        <f t="shared" si="4"/>
        <v>-0.07189440000365721</v>
      </c>
      <c r="K49">
        <f>+G49</f>
        <v>-0.07189440000365721</v>
      </c>
      <c r="O49">
        <f t="shared" si="2"/>
        <v>-0.06031064728916094</v>
      </c>
      <c r="Q49" s="2">
        <f t="shared" si="3"/>
        <v>36413.832</v>
      </c>
    </row>
    <row r="50" spans="1:17" ht="12.75">
      <c r="A50" s="43" t="s">
        <v>139</v>
      </c>
      <c r="B50" s="45" t="s">
        <v>156</v>
      </c>
      <c r="C50" s="44">
        <v>51798.368</v>
      </c>
      <c r="D50" s="13"/>
      <c r="E50">
        <f t="shared" si="0"/>
        <v>6829.962335262381</v>
      </c>
      <c r="F50">
        <f t="shared" si="1"/>
        <v>6830</v>
      </c>
      <c r="G50">
        <f t="shared" si="4"/>
        <v>-0.08671200000389945</v>
      </c>
      <c r="K50">
        <f>+G50</f>
        <v>-0.08671200000389945</v>
      </c>
      <c r="O50">
        <f t="shared" si="2"/>
        <v>-0.061583603145740115</v>
      </c>
      <c r="Q50" s="2">
        <f t="shared" si="3"/>
        <v>36779.868</v>
      </c>
    </row>
    <row r="51" spans="1:17" ht="12.75">
      <c r="A51" s="43" t="s">
        <v>143</v>
      </c>
      <c r="B51" s="45" t="s">
        <v>156</v>
      </c>
      <c r="C51" s="44">
        <v>52065.413</v>
      </c>
      <c r="D51" s="13"/>
      <c r="E51">
        <f t="shared" si="0"/>
        <v>6945.957582256741</v>
      </c>
      <c r="F51">
        <f t="shared" si="1"/>
        <v>6946</v>
      </c>
      <c r="G51">
        <f t="shared" si="4"/>
        <v>-0.0976544000004651</v>
      </c>
      <c r="K51">
        <f>+G51</f>
        <v>-0.0976544000004651</v>
      </c>
      <c r="O51">
        <f t="shared" si="2"/>
        <v>-0.06251230050022553</v>
      </c>
      <c r="Q51" s="2">
        <f t="shared" si="3"/>
        <v>37046.913</v>
      </c>
    </row>
    <row r="52" spans="1:17" ht="12.75">
      <c r="A52" s="43" t="s">
        <v>150</v>
      </c>
      <c r="B52" s="45" t="s">
        <v>156</v>
      </c>
      <c r="C52" s="44">
        <v>55790.4155</v>
      </c>
      <c r="D52" s="13"/>
      <c r="E52">
        <f t="shared" si="0"/>
        <v>8563.971718608722</v>
      </c>
      <c r="F52">
        <f t="shared" si="1"/>
        <v>8564</v>
      </c>
      <c r="G52">
        <f t="shared" si="4"/>
        <v>-0.06510960000014165</v>
      </c>
      <c r="K52">
        <f>+G52</f>
        <v>-0.06510960000014165</v>
      </c>
      <c r="O52">
        <f t="shared" si="2"/>
        <v>-0.07546602739296197</v>
      </c>
      <c r="Q52" s="2">
        <f t="shared" si="3"/>
        <v>40771.9155</v>
      </c>
    </row>
    <row r="53" spans="1:17" ht="12.75">
      <c r="A53" s="28" t="s">
        <v>40</v>
      </c>
      <c r="B53" s="29"/>
      <c r="C53" s="28">
        <v>56918.525</v>
      </c>
      <c r="D53" s="28">
        <v>0.0067</v>
      </c>
      <c r="E53">
        <f t="shared" si="0"/>
        <v>9053.984038963665</v>
      </c>
      <c r="F53">
        <f t="shared" si="1"/>
        <v>9054</v>
      </c>
      <c r="G53">
        <f t="shared" si="4"/>
        <v>-0.036745600002177525</v>
      </c>
      <c r="I53">
        <f>+G53</f>
        <v>-0.036745600002177525</v>
      </c>
      <c r="O53">
        <f t="shared" si="2"/>
        <v>-0.07938897311449526</v>
      </c>
      <c r="Q53" s="2">
        <f t="shared" si="3"/>
        <v>41900.025</v>
      </c>
    </row>
    <row r="54" spans="2:4" ht="12.75">
      <c r="B54" s="18"/>
      <c r="C54" s="13"/>
      <c r="D54" s="13"/>
    </row>
    <row r="55" spans="2:4" ht="12.75">
      <c r="B55" s="18"/>
      <c r="C55" s="13"/>
      <c r="D55" s="13"/>
    </row>
    <row r="56" spans="2:4" ht="12.75">
      <c r="B56" s="18"/>
      <c r="C56" s="13"/>
      <c r="D56" s="13"/>
    </row>
    <row r="57" spans="2:4" ht="12.75">
      <c r="B57" s="18"/>
      <c r="C57" s="13"/>
      <c r="D57" s="13"/>
    </row>
    <row r="58" spans="2:4" ht="12.75">
      <c r="B58" s="18"/>
      <c r="C58" s="13"/>
      <c r="D58" s="13"/>
    </row>
    <row r="59" spans="2:4" ht="12.75">
      <c r="B59" s="18"/>
      <c r="C59" s="13"/>
      <c r="D59" s="13"/>
    </row>
    <row r="60" spans="2:4" ht="12.75">
      <c r="B60" s="18"/>
      <c r="C60" s="13"/>
      <c r="D60" s="13"/>
    </row>
    <row r="61" spans="2:4" ht="12.75">
      <c r="B61" s="18"/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2"/>
  <sheetViews>
    <sheetView zoomScalePageLayoutView="0" workbookViewId="0" topLeftCell="A1">
      <selection activeCell="A14" sqref="A14:C42"/>
    </sheetView>
  </sheetViews>
  <sheetFormatPr defaultColWidth="9.140625" defaultRowHeight="12.75"/>
  <cols>
    <col min="1" max="1" width="19.7109375" style="13" customWidth="1"/>
    <col min="2" max="2" width="4.421875" style="16" customWidth="1"/>
    <col min="3" max="3" width="12.7109375" style="13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3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0" t="s">
        <v>41</v>
      </c>
      <c r="I1" s="31" t="s">
        <v>42</v>
      </c>
      <c r="J1" s="32" t="s">
        <v>43</v>
      </c>
    </row>
    <row r="2" spans="9:10" ht="12.75">
      <c r="I2" s="33" t="s">
        <v>44</v>
      </c>
      <c r="J2" s="34" t="s">
        <v>45</v>
      </c>
    </row>
    <row r="3" spans="1:10" ht="12.75">
      <c r="A3" s="35" t="s">
        <v>46</v>
      </c>
      <c r="I3" s="33" t="s">
        <v>47</v>
      </c>
      <c r="J3" s="34" t="s">
        <v>48</v>
      </c>
    </row>
    <row r="4" spans="9:10" ht="12.75">
      <c r="I4" s="33" t="s">
        <v>49</v>
      </c>
      <c r="J4" s="34" t="s">
        <v>48</v>
      </c>
    </row>
    <row r="5" spans="9:10" ht="13.5" thickBot="1">
      <c r="I5" s="36" t="s">
        <v>50</v>
      </c>
      <c r="J5" s="37" t="s">
        <v>51</v>
      </c>
    </row>
    <row r="10" ht="13.5" thickBot="1"/>
    <row r="11" spans="1:16" ht="12.75" customHeight="1" thickBot="1">
      <c r="A11" s="13" t="str">
        <f aca="true" t="shared" si="0" ref="A11:A42">P11</f>
        <v>IBVS 4887 </v>
      </c>
      <c r="B11" s="18" t="str">
        <f aca="true" t="shared" si="1" ref="B11:B42">IF(H11=INT(H11),"I","II")</f>
        <v>I</v>
      </c>
      <c r="C11" s="13">
        <f aca="true" t="shared" si="2" ref="C11:C42">1*G11</f>
        <v>50686.4243</v>
      </c>
      <c r="D11" s="16" t="str">
        <f aca="true" t="shared" si="3" ref="D11:D42">VLOOKUP(F11,I$1:J$5,2,FALSE)</f>
        <v>vis</v>
      </c>
      <c r="E11" s="38">
        <f>VLOOKUP(C11,A!C$21:E$973,3,FALSE)</f>
        <v>6346.97188749019</v>
      </c>
      <c r="F11" s="18" t="s">
        <v>50</v>
      </c>
      <c r="G11" s="16" t="str">
        <f aca="true" t="shared" si="4" ref="G11:G42">MID(I11,3,LEN(I11)-3)</f>
        <v>50686.4243</v>
      </c>
      <c r="H11" s="13">
        <f aca="true" t="shared" si="5" ref="H11:H42">1*K11</f>
        <v>6347</v>
      </c>
      <c r="I11" s="39" t="s">
        <v>122</v>
      </c>
      <c r="J11" s="40" t="s">
        <v>123</v>
      </c>
      <c r="K11" s="39">
        <v>6347</v>
      </c>
      <c r="L11" s="39" t="s">
        <v>124</v>
      </c>
      <c r="M11" s="40" t="s">
        <v>118</v>
      </c>
      <c r="N11" s="40" t="s">
        <v>119</v>
      </c>
      <c r="O11" s="41" t="s">
        <v>125</v>
      </c>
      <c r="P11" s="42" t="s">
        <v>126</v>
      </c>
    </row>
    <row r="12" spans="1:16" ht="12.75" customHeight="1" thickBot="1">
      <c r="A12" s="13" t="str">
        <f t="shared" si="0"/>
        <v>IBVS 4888 </v>
      </c>
      <c r="B12" s="18" t="str">
        <f t="shared" si="1"/>
        <v>I</v>
      </c>
      <c r="C12" s="13">
        <f t="shared" si="2"/>
        <v>51142.2704</v>
      </c>
      <c r="D12" s="16" t="str">
        <f t="shared" si="3"/>
        <v>vis</v>
      </c>
      <c r="E12" s="38">
        <f>VLOOKUP(C12,A!C$21:E$973,3,FALSE)</f>
        <v>6544.975897903853</v>
      </c>
      <c r="F12" s="18" t="s">
        <v>50</v>
      </c>
      <c r="G12" s="16" t="str">
        <f t="shared" si="4"/>
        <v>51142.2704</v>
      </c>
      <c r="H12" s="13">
        <f t="shared" si="5"/>
        <v>6545</v>
      </c>
      <c r="I12" s="39" t="s">
        <v>127</v>
      </c>
      <c r="J12" s="40" t="s">
        <v>128</v>
      </c>
      <c r="K12" s="39">
        <v>6545</v>
      </c>
      <c r="L12" s="39" t="s">
        <v>129</v>
      </c>
      <c r="M12" s="40" t="s">
        <v>118</v>
      </c>
      <c r="N12" s="40" t="s">
        <v>119</v>
      </c>
      <c r="O12" s="41" t="s">
        <v>130</v>
      </c>
      <c r="P12" s="42" t="s">
        <v>131</v>
      </c>
    </row>
    <row r="13" spans="1:16" ht="12.75" customHeight="1" thickBot="1">
      <c r="A13" s="13" t="str">
        <f t="shared" si="0"/>
        <v>BAVM 239 </v>
      </c>
      <c r="B13" s="18" t="str">
        <f t="shared" si="1"/>
        <v>I</v>
      </c>
      <c r="C13" s="13">
        <f t="shared" si="2"/>
        <v>56918.525</v>
      </c>
      <c r="D13" s="16" t="str">
        <f t="shared" si="3"/>
        <v>vis</v>
      </c>
      <c r="E13" s="38">
        <f>VLOOKUP(C13,A!C$21:E$973,3,FALSE)</f>
        <v>9053.984038963665</v>
      </c>
      <c r="F13" s="18" t="s">
        <v>50</v>
      </c>
      <c r="G13" s="16" t="str">
        <f t="shared" si="4"/>
        <v>56918.5250</v>
      </c>
      <c r="H13" s="13">
        <f t="shared" si="5"/>
        <v>9054</v>
      </c>
      <c r="I13" s="39" t="s">
        <v>151</v>
      </c>
      <c r="J13" s="40" t="s">
        <v>152</v>
      </c>
      <c r="K13" s="39" t="s">
        <v>153</v>
      </c>
      <c r="L13" s="39" t="s">
        <v>154</v>
      </c>
      <c r="M13" s="40" t="s">
        <v>147</v>
      </c>
      <c r="N13" s="40" t="s">
        <v>148</v>
      </c>
      <c r="O13" s="41" t="s">
        <v>149</v>
      </c>
      <c r="P13" s="42" t="s">
        <v>155</v>
      </c>
    </row>
    <row r="14" spans="1:16" ht="12.75" customHeight="1" thickBot="1">
      <c r="A14" s="13" t="str">
        <f t="shared" si="0"/>
        <v> PZP 4.82 </v>
      </c>
      <c r="B14" s="18" t="str">
        <f t="shared" si="1"/>
        <v>I</v>
      </c>
      <c r="C14" s="13">
        <f t="shared" si="2"/>
        <v>36074.37</v>
      </c>
      <c r="D14" s="16" t="str">
        <f t="shared" si="3"/>
        <v>vis</v>
      </c>
      <c r="E14" s="38">
        <f>VLOOKUP(C14,A!C$21:E$973,3,FALSE)</f>
        <v>-0.006515488793453933</v>
      </c>
      <c r="F14" s="18" t="s">
        <v>50</v>
      </c>
      <c r="G14" s="16" t="str">
        <f t="shared" si="4"/>
        <v>36074.37</v>
      </c>
      <c r="H14" s="13">
        <f t="shared" si="5"/>
        <v>0</v>
      </c>
      <c r="I14" s="39" t="s">
        <v>52</v>
      </c>
      <c r="J14" s="40" t="s">
        <v>53</v>
      </c>
      <c r="K14" s="39">
        <v>0</v>
      </c>
      <c r="L14" s="39" t="s">
        <v>54</v>
      </c>
      <c r="M14" s="40" t="s">
        <v>55</v>
      </c>
      <c r="N14" s="40"/>
      <c r="O14" s="41" t="s">
        <v>56</v>
      </c>
      <c r="P14" s="41" t="s">
        <v>57</v>
      </c>
    </row>
    <row r="15" spans="1:16" ht="12.75" customHeight="1" thickBot="1">
      <c r="A15" s="13" t="str">
        <f t="shared" si="0"/>
        <v> PZP 4.82 </v>
      </c>
      <c r="B15" s="18" t="str">
        <f t="shared" si="1"/>
        <v>I</v>
      </c>
      <c r="C15" s="13">
        <f t="shared" si="2"/>
        <v>37902.3</v>
      </c>
      <c r="D15" s="16" t="str">
        <f t="shared" si="3"/>
        <v>vis</v>
      </c>
      <c r="E15" s="38">
        <f>VLOOKUP(C15,A!C$21:E$973,3,FALSE)</f>
        <v>793.9839798899008</v>
      </c>
      <c r="F15" s="18" t="s">
        <v>50</v>
      </c>
      <c r="G15" s="16" t="str">
        <f t="shared" si="4"/>
        <v>37902.30</v>
      </c>
      <c r="H15" s="13">
        <f t="shared" si="5"/>
        <v>794</v>
      </c>
      <c r="I15" s="39" t="s">
        <v>58</v>
      </c>
      <c r="J15" s="40" t="s">
        <v>59</v>
      </c>
      <c r="K15" s="39">
        <v>794</v>
      </c>
      <c r="L15" s="39" t="s">
        <v>60</v>
      </c>
      <c r="M15" s="40" t="s">
        <v>55</v>
      </c>
      <c r="N15" s="40"/>
      <c r="O15" s="41" t="s">
        <v>56</v>
      </c>
      <c r="P15" s="41" t="s">
        <v>57</v>
      </c>
    </row>
    <row r="16" spans="1:16" ht="12.75" customHeight="1" thickBot="1">
      <c r="A16" s="13" t="str">
        <f t="shared" si="0"/>
        <v> PZP 4.82 </v>
      </c>
      <c r="B16" s="18" t="str">
        <f t="shared" si="1"/>
        <v>I</v>
      </c>
      <c r="C16" s="13">
        <f t="shared" si="2"/>
        <v>38261.41</v>
      </c>
      <c r="D16" s="16" t="str">
        <f t="shared" si="3"/>
        <v>vis</v>
      </c>
      <c r="E16" s="38">
        <f>VLOOKUP(C16,A!C$21:E$973,3,FALSE)</f>
        <v>949.9691252704367</v>
      </c>
      <c r="F16" s="18" t="s">
        <v>50</v>
      </c>
      <c r="G16" s="16" t="str">
        <f t="shared" si="4"/>
        <v>38261.41</v>
      </c>
      <c r="H16" s="13">
        <f t="shared" si="5"/>
        <v>950</v>
      </c>
      <c r="I16" s="39" t="s">
        <v>61</v>
      </c>
      <c r="J16" s="40" t="s">
        <v>62</v>
      </c>
      <c r="K16" s="39">
        <v>950</v>
      </c>
      <c r="L16" s="39" t="s">
        <v>63</v>
      </c>
      <c r="M16" s="40" t="s">
        <v>55</v>
      </c>
      <c r="N16" s="40"/>
      <c r="O16" s="41" t="s">
        <v>56</v>
      </c>
      <c r="P16" s="41" t="s">
        <v>57</v>
      </c>
    </row>
    <row r="17" spans="1:16" ht="12.75" customHeight="1" thickBot="1">
      <c r="A17" s="13" t="str">
        <f t="shared" si="0"/>
        <v> PZP 4.82 </v>
      </c>
      <c r="B17" s="18" t="str">
        <f t="shared" si="1"/>
        <v>I</v>
      </c>
      <c r="C17" s="13">
        <f t="shared" si="2"/>
        <v>38268.37</v>
      </c>
      <c r="D17" s="16" t="str">
        <f t="shared" si="3"/>
        <v>vis</v>
      </c>
      <c r="E17" s="38">
        <f>VLOOKUP(C17,A!C$21:E$973,3,FALSE)</f>
        <v>952.9923120707164</v>
      </c>
      <c r="F17" s="18" t="s">
        <v>50</v>
      </c>
      <c r="G17" s="16" t="str">
        <f t="shared" si="4"/>
        <v>38268.37</v>
      </c>
      <c r="H17" s="13">
        <f t="shared" si="5"/>
        <v>953</v>
      </c>
      <c r="I17" s="39" t="s">
        <v>64</v>
      </c>
      <c r="J17" s="40" t="s">
        <v>65</v>
      </c>
      <c r="K17" s="39">
        <v>953</v>
      </c>
      <c r="L17" s="39" t="s">
        <v>66</v>
      </c>
      <c r="M17" s="40" t="s">
        <v>55</v>
      </c>
      <c r="N17" s="40"/>
      <c r="O17" s="41" t="s">
        <v>56</v>
      </c>
      <c r="P17" s="41" t="s">
        <v>57</v>
      </c>
    </row>
    <row r="18" spans="1:16" ht="12.75" customHeight="1" thickBot="1">
      <c r="A18" s="13" t="str">
        <f t="shared" si="0"/>
        <v> PZP 4.82 </v>
      </c>
      <c r="B18" s="18" t="str">
        <f t="shared" si="1"/>
        <v>I</v>
      </c>
      <c r="C18" s="13">
        <f t="shared" si="2"/>
        <v>38678.21</v>
      </c>
      <c r="D18" s="16" t="str">
        <f t="shared" si="3"/>
        <v>vis</v>
      </c>
      <c r="E18" s="38">
        <f>VLOOKUP(C18,A!C$21:E$973,3,FALSE)</f>
        <v>1131.0128405515668</v>
      </c>
      <c r="F18" s="18" t="s">
        <v>50</v>
      </c>
      <c r="G18" s="16" t="str">
        <f t="shared" si="4"/>
        <v>38678.21</v>
      </c>
      <c r="H18" s="13">
        <f t="shared" si="5"/>
        <v>1131</v>
      </c>
      <c r="I18" s="39" t="s">
        <v>67</v>
      </c>
      <c r="J18" s="40" t="s">
        <v>68</v>
      </c>
      <c r="K18" s="39">
        <v>1131</v>
      </c>
      <c r="L18" s="39" t="s">
        <v>69</v>
      </c>
      <c r="M18" s="40" t="s">
        <v>55</v>
      </c>
      <c r="N18" s="40"/>
      <c r="O18" s="41" t="s">
        <v>56</v>
      </c>
      <c r="P18" s="41" t="s">
        <v>57</v>
      </c>
    </row>
    <row r="19" spans="1:16" ht="12.75" customHeight="1" thickBot="1">
      <c r="A19" s="13" t="str">
        <f t="shared" si="0"/>
        <v> PZP 4.82 </v>
      </c>
      <c r="B19" s="18" t="str">
        <f t="shared" si="1"/>
        <v>I</v>
      </c>
      <c r="C19" s="13">
        <f t="shared" si="2"/>
        <v>38825.56</v>
      </c>
      <c r="D19" s="16" t="str">
        <f t="shared" si="3"/>
        <v>vis</v>
      </c>
      <c r="E19" s="38">
        <f>VLOOKUP(C19,A!C$21:E$973,3,FALSE)</f>
        <v>1195.0166588017457</v>
      </c>
      <c r="F19" s="18" t="s">
        <v>50</v>
      </c>
      <c r="G19" s="16" t="str">
        <f t="shared" si="4"/>
        <v>38825.56</v>
      </c>
      <c r="H19" s="13">
        <f t="shared" si="5"/>
        <v>1195</v>
      </c>
      <c r="I19" s="39" t="s">
        <v>70</v>
      </c>
      <c r="J19" s="40" t="s">
        <v>71</v>
      </c>
      <c r="K19" s="39">
        <v>1195</v>
      </c>
      <c r="L19" s="39" t="s">
        <v>72</v>
      </c>
      <c r="M19" s="40" t="s">
        <v>55</v>
      </c>
      <c r="N19" s="40"/>
      <c r="O19" s="41" t="s">
        <v>56</v>
      </c>
      <c r="P19" s="41" t="s">
        <v>57</v>
      </c>
    </row>
    <row r="20" spans="1:16" ht="12.75" customHeight="1" thickBot="1">
      <c r="A20" s="13" t="str">
        <f t="shared" si="0"/>
        <v> PZP 4.82 </v>
      </c>
      <c r="B20" s="18" t="str">
        <f t="shared" si="1"/>
        <v>I</v>
      </c>
      <c r="C20" s="13">
        <f t="shared" si="2"/>
        <v>38938.39</v>
      </c>
      <c r="D20" s="16" t="str">
        <f t="shared" si="3"/>
        <v>vis</v>
      </c>
      <c r="E20" s="38">
        <f>VLOOKUP(C20,A!C$21:E$973,3,FALSE)</f>
        <v>1244.0261655080087</v>
      </c>
      <c r="F20" s="18" t="s">
        <v>50</v>
      </c>
      <c r="G20" s="16" t="str">
        <f t="shared" si="4"/>
        <v>38938.39</v>
      </c>
      <c r="H20" s="13">
        <f t="shared" si="5"/>
        <v>1244</v>
      </c>
      <c r="I20" s="39" t="s">
        <v>73</v>
      </c>
      <c r="J20" s="40" t="s">
        <v>74</v>
      </c>
      <c r="K20" s="39">
        <v>1244</v>
      </c>
      <c r="L20" s="39" t="s">
        <v>75</v>
      </c>
      <c r="M20" s="40" t="s">
        <v>55</v>
      </c>
      <c r="N20" s="40"/>
      <c r="O20" s="41" t="s">
        <v>56</v>
      </c>
      <c r="P20" s="41" t="s">
        <v>57</v>
      </c>
    </row>
    <row r="21" spans="1:16" ht="12.75" customHeight="1" thickBot="1">
      <c r="A21" s="13" t="str">
        <f t="shared" si="0"/>
        <v> PZP 4.82 </v>
      </c>
      <c r="B21" s="18" t="str">
        <f t="shared" si="1"/>
        <v>I</v>
      </c>
      <c r="C21" s="13">
        <f t="shared" si="2"/>
        <v>39030.38</v>
      </c>
      <c r="D21" s="16" t="str">
        <f t="shared" si="3"/>
        <v>vis</v>
      </c>
      <c r="E21" s="38">
        <f>VLOOKUP(C21,A!C$21:E$973,3,FALSE)</f>
        <v>1283.9834864502136</v>
      </c>
      <c r="F21" s="18" t="s">
        <v>50</v>
      </c>
      <c r="G21" s="16" t="str">
        <f t="shared" si="4"/>
        <v>39030.38</v>
      </c>
      <c r="H21" s="13">
        <f t="shared" si="5"/>
        <v>1284</v>
      </c>
      <c r="I21" s="39" t="s">
        <v>76</v>
      </c>
      <c r="J21" s="40" t="s">
        <v>77</v>
      </c>
      <c r="K21" s="39">
        <v>1284</v>
      </c>
      <c r="L21" s="39" t="s">
        <v>60</v>
      </c>
      <c r="M21" s="40" t="s">
        <v>55</v>
      </c>
      <c r="N21" s="40"/>
      <c r="O21" s="41" t="s">
        <v>56</v>
      </c>
      <c r="P21" s="41" t="s">
        <v>57</v>
      </c>
    </row>
    <row r="22" spans="1:16" ht="12.75" customHeight="1" thickBot="1">
      <c r="A22" s="13" t="str">
        <f t="shared" si="0"/>
        <v> PZP 4.82 </v>
      </c>
      <c r="B22" s="18" t="str">
        <f t="shared" si="1"/>
        <v>I</v>
      </c>
      <c r="C22" s="13">
        <f t="shared" si="2"/>
        <v>39297.42</v>
      </c>
      <c r="D22" s="16" t="str">
        <f t="shared" si="3"/>
        <v>vis</v>
      </c>
      <c r="E22" s="38">
        <f>VLOOKUP(C22,A!C$21:E$973,3,FALSE)</f>
        <v>1399.9765616149778</v>
      </c>
      <c r="F22" s="18" t="s">
        <v>50</v>
      </c>
      <c r="G22" s="16" t="str">
        <f t="shared" si="4"/>
        <v>39297.42</v>
      </c>
      <c r="H22" s="13">
        <f t="shared" si="5"/>
        <v>1400</v>
      </c>
      <c r="I22" s="39" t="s">
        <v>78</v>
      </c>
      <c r="J22" s="40" t="s">
        <v>79</v>
      </c>
      <c r="K22" s="39">
        <v>1400</v>
      </c>
      <c r="L22" s="39" t="s">
        <v>80</v>
      </c>
      <c r="M22" s="40" t="s">
        <v>55</v>
      </c>
      <c r="N22" s="40"/>
      <c r="O22" s="41" t="s">
        <v>56</v>
      </c>
      <c r="P22" s="41" t="s">
        <v>57</v>
      </c>
    </row>
    <row r="23" spans="1:16" ht="12.75" customHeight="1" thickBot="1">
      <c r="A23" s="13" t="str">
        <f t="shared" si="0"/>
        <v> PZP 4.82 </v>
      </c>
      <c r="B23" s="18" t="str">
        <f t="shared" si="1"/>
        <v>I</v>
      </c>
      <c r="C23" s="13">
        <f t="shared" si="2"/>
        <v>39380.38</v>
      </c>
      <c r="D23" s="16" t="str">
        <f t="shared" si="3"/>
        <v>vis</v>
      </c>
      <c r="E23" s="38">
        <f>VLOOKUP(C23,A!C$21:E$973,3,FALSE)</f>
        <v>1436.0115583033714</v>
      </c>
      <c r="F23" s="18" t="s">
        <v>50</v>
      </c>
      <c r="G23" s="16" t="str">
        <f t="shared" si="4"/>
        <v>39380.38</v>
      </c>
      <c r="H23" s="13">
        <f t="shared" si="5"/>
        <v>1436</v>
      </c>
      <c r="I23" s="39" t="s">
        <v>81</v>
      </c>
      <c r="J23" s="40" t="s">
        <v>82</v>
      </c>
      <c r="K23" s="39">
        <v>1436</v>
      </c>
      <c r="L23" s="39" t="s">
        <v>69</v>
      </c>
      <c r="M23" s="40" t="s">
        <v>55</v>
      </c>
      <c r="N23" s="40"/>
      <c r="O23" s="41" t="s">
        <v>56</v>
      </c>
      <c r="P23" s="41" t="s">
        <v>57</v>
      </c>
    </row>
    <row r="24" spans="1:16" ht="12.75" customHeight="1" thickBot="1">
      <c r="A24" s="13" t="str">
        <f t="shared" si="0"/>
        <v> PZP 4.82 </v>
      </c>
      <c r="B24" s="18" t="str">
        <f t="shared" si="1"/>
        <v>I</v>
      </c>
      <c r="C24" s="13">
        <f t="shared" si="2"/>
        <v>39410.31</v>
      </c>
      <c r="D24" s="16" t="str">
        <f t="shared" si="3"/>
        <v>vis</v>
      </c>
      <c r="E24" s="38">
        <f>VLOOKUP(C24,A!C$21:E$973,3,FALSE)</f>
        <v>1449.0121302764146</v>
      </c>
      <c r="F24" s="18" t="s">
        <v>50</v>
      </c>
      <c r="G24" s="16" t="str">
        <f t="shared" si="4"/>
        <v>39410.31</v>
      </c>
      <c r="H24" s="13">
        <f t="shared" si="5"/>
        <v>1449</v>
      </c>
      <c r="I24" s="39" t="s">
        <v>83</v>
      </c>
      <c r="J24" s="40" t="s">
        <v>84</v>
      </c>
      <c r="K24" s="39">
        <v>1449</v>
      </c>
      <c r="L24" s="39" t="s">
        <v>69</v>
      </c>
      <c r="M24" s="40" t="s">
        <v>55</v>
      </c>
      <c r="N24" s="40"/>
      <c r="O24" s="41" t="s">
        <v>56</v>
      </c>
      <c r="P24" s="41" t="s">
        <v>57</v>
      </c>
    </row>
    <row r="25" spans="1:16" ht="12.75" customHeight="1" thickBot="1">
      <c r="A25" s="13" t="str">
        <f t="shared" si="0"/>
        <v> PZP 4.82 </v>
      </c>
      <c r="B25" s="18" t="str">
        <f t="shared" si="1"/>
        <v>I</v>
      </c>
      <c r="C25" s="13">
        <f t="shared" si="2"/>
        <v>39417.23</v>
      </c>
      <c r="D25" s="16" t="str">
        <f t="shared" si="3"/>
        <v>vis</v>
      </c>
      <c r="E25" s="38">
        <f>VLOOKUP(C25,A!C$21:E$973,3,FALSE)</f>
        <v>1452.0179424399137</v>
      </c>
      <c r="F25" s="18" t="s">
        <v>50</v>
      </c>
      <c r="G25" s="16" t="str">
        <f t="shared" si="4"/>
        <v>39417.23</v>
      </c>
      <c r="H25" s="13">
        <f t="shared" si="5"/>
        <v>1452</v>
      </c>
      <c r="I25" s="39" t="s">
        <v>85</v>
      </c>
      <c r="J25" s="40" t="s">
        <v>86</v>
      </c>
      <c r="K25" s="39">
        <v>1452</v>
      </c>
      <c r="L25" s="39" t="s">
        <v>72</v>
      </c>
      <c r="M25" s="40" t="s">
        <v>55</v>
      </c>
      <c r="N25" s="40"/>
      <c r="O25" s="41" t="s">
        <v>56</v>
      </c>
      <c r="P25" s="41" t="s">
        <v>57</v>
      </c>
    </row>
    <row r="26" spans="1:16" ht="12.75" customHeight="1" thickBot="1">
      <c r="A26" s="13" t="str">
        <f t="shared" si="0"/>
        <v> PZP 4.82 </v>
      </c>
      <c r="B26" s="18" t="str">
        <f t="shared" si="1"/>
        <v>I</v>
      </c>
      <c r="C26" s="13">
        <f t="shared" si="2"/>
        <v>39647.37</v>
      </c>
      <c r="D26" s="16" t="str">
        <f t="shared" si="3"/>
        <v>vis</v>
      </c>
      <c r="E26" s="38">
        <f>VLOOKUP(C26,A!C$21:E$973,3,FALSE)</f>
        <v>1551.9829151721585</v>
      </c>
      <c r="F26" s="18" t="s">
        <v>50</v>
      </c>
      <c r="G26" s="16" t="str">
        <f t="shared" si="4"/>
        <v>39647.37</v>
      </c>
      <c r="H26" s="13">
        <f t="shared" si="5"/>
        <v>1552</v>
      </c>
      <c r="I26" s="39" t="s">
        <v>87</v>
      </c>
      <c r="J26" s="40" t="s">
        <v>88</v>
      </c>
      <c r="K26" s="39">
        <v>1552</v>
      </c>
      <c r="L26" s="39" t="s">
        <v>60</v>
      </c>
      <c r="M26" s="40" t="s">
        <v>55</v>
      </c>
      <c r="N26" s="40"/>
      <c r="O26" s="41" t="s">
        <v>56</v>
      </c>
      <c r="P26" s="41" t="s">
        <v>57</v>
      </c>
    </row>
    <row r="27" spans="1:16" ht="12.75" customHeight="1" thickBot="1">
      <c r="A27" s="13" t="str">
        <f t="shared" si="0"/>
        <v> PZP 4.82 </v>
      </c>
      <c r="B27" s="18" t="str">
        <f t="shared" si="1"/>
        <v>I</v>
      </c>
      <c r="C27" s="13">
        <f t="shared" si="2"/>
        <v>39677.37</v>
      </c>
      <c r="D27" s="16" t="str">
        <f t="shared" si="3"/>
        <v>vis</v>
      </c>
      <c r="E27" s="38">
        <f>VLOOKUP(C27,A!C$21:E$973,3,FALSE)</f>
        <v>1565.013892759572</v>
      </c>
      <c r="F27" s="18" t="s">
        <v>50</v>
      </c>
      <c r="G27" s="16" t="str">
        <f t="shared" si="4"/>
        <v>39677.37</v>
      </c>
      <c r="H27" s="13">
        <f t="shared" si="5"/>
        <v>1565</v>
      </c>
      <c r="I27" s="39" t="s">
        <v>89</v>
      </c>
      <c r="J27" s="40" t="s">
        <v>90</v>
      </c>
      <c r="K27" s="39">
        <v>1565</v>
      </c>
      <c r="L27" s="39" t="s">
        <v>69</v>
      </c>
      <c r="M27" s="40" t="s">
        <v>55</v>
      </c>
      <c r="N27" s="40"/>
      <c r="O27" s="41" t="s">
        <v>56</v>
      </c>
      <c r="P27" s="41" t="s">
        <v>57</v>
      </c>
    </row>
    <row r="28" spans="1:16" ht="12.75" customHeight="1" thickBot="1">
      <c r="A28" s="13" t="str">
        <f t="shared" si="0"/>
        <v> PZP 4.82 </v>
      </c>
      <c r="B28" s="18" t="str">
        <f t="shared" si="1"/>
        <v>I</v>
      </c>
      <c r="C28" s="13">
        <f t="shared" si="2"/>
        <v>39716.5</v>
      </c>
      <c r="D28" s="16" t="str">
        <f t="shared" si="3"/>
        <v>vis</v>
      </c>
      <c r="E28" s="38">
        <f>VLOOKUP(C28,A!C$21:E$973,3,FALSE)</f>
        <v>1582.0106311927539</v>
      </c>
      <c r="F28" s="18" t="s">
        <v>50</v>
      </c>
      <c r="G28" s="16" t="str">
        <f t="shared" si="4"/>
        <v>39716.50</v>
      </c>
      <c r="H28" s="13">
        <f t="shared" si="5"/>
        <v>1582</v>
      </c>
      <c r="I28" s="39" t="s">
        <v>91</v>
      </c>
      <c r="J28" s="40" t="s">
        <v>92</v>
      </c>
      <c r="K28" s="39">
        <v>1582</v>
      </c>
      <c r="L28" s="39" t="s">
        <v>93</v>
      </c>
      <c r="M28" s="40" t="s">
        <v>55</v>
      </c>
      <c r="N28" s="40"/>
      <c r="O28" s="41" t="s">
        <v>56</v>
      </c>
      <c r="P28" s="41" t="s">
        <v>57</v>
      </c>
    </row>
    <row r="29" spans="1:16" ht="12.75" customHeight="1" thickBot="1">
      <c r="A29" s="13" t="str">
        <f t="shared" si="0"/>
        <v> PZP 4.82 </v>
      </c>
      <c r="B29" s="18" t="str">
        <f t="shared" si="1"/>
        <v>I</v>
      </c>
      <c r="C29" s="13">
        <f t="shared" si="2"/>
        <v>39739.44</v>
      </c>
      <c r="D29" s="16" t="str">
        <f t="shared" si="3"/>
        <v>vis</v>
      </c>
      <c r="E29" s="38">
        <f>VLOOKUP(C29,A!C$21:E$973,3,FALSE)</f>
        <v>1591.9749853879305</v>
      </c>
      <c r="F29" s="18" t="s">
        <v>50</v>
      </c>
      <c r="G29" s="16" t="str">
        <f t="shared" si="4"/>
        <v>39739.44</v>
      </c>
      <c r="H29" s="13">
        <f t="shared" si="5"/>
        <v>1592</v>
      </c>
      <c r="I29" s="39" t="s">
        <v>94</v>
      </c>
      <c r="J29" s="40" t="s">
        <v>95</v>
      </c>
      <c r="K29" s="39">
        <v>1592</v>
      </c>
      <c r="L29" s="39" t="s">
        <v>96</v>
      </c>
      <c r="M29" s="40" t="s">
        <v>55</v>
      </c>
      <c r="N29" s="40"/>
      <c r="O29" s="41" t="s">
        <v>56</v>
      </c>
      <c r="P29" s="41" t="s">
        <v>57</v>
      </c>
    </row>
    <row r="30" spans="1:16" ht="12.75" customHeight="1" thickBot="1">
      <c r="A30" s="13" t="str">
        <f t="shared" si="0"/>
        <v> PZP 4.82 </v>
      </c>
      <c r="B30" s="18" t="str">
        <f t="shared" si="1"/>
        <v>I</v>
      </c>
      <c r="C30" s="13">
        <f t="shared" si="2"/>
        <v>39769.34</v>
      </c>
      <c r="D30" s="16" t="str">
        <f t="shared" si="3"/>
        <v>vis</v>
      </c>
      <c r="E30" s="38">
        <f>VLOOKUP(C30,A!C$21:E$973,3,FALSE)</f>
        <v>1604.9625263833834</v>
      </c>
      <c r="F30" s="18" t="s">
        <v>50</v>
      </c>
      <c r="G30" s="16" t="str">
        <f t="shared" si="4"/>
        <v>39769.34</v>
      </c>
      <c r="H30" s="13">
        <f t="shared" si="5"/>
        <v>1605</v>
      </c>
      <c r="I30" s="39" t="s">
        <v>97</v>
      </c>
      <c r="J30" s="40" t="s">
        <v>98</v>
      </c>
      <c r="K30" s="39">
        <v>1605</v>
      </c>
      <c r="L30" s="39" t="s">
        <v>99</v>
      </c>
      <c r="M30" s="40" t="s">
        <v>55</v>
      </c>
      <c r="N30" s="40"/>
      <c r="O30" s="41" t="s">
        <v>56</v>
      </c>
      <c r="P30" s="41" t="s">
        <v>57</v>
      </c>
    </row>
    <row r="31" spans="1:16" ht="12.75" customHeight="1" thickBot="1">
      <c r="A31" s="13" t="str">
        <f t="shared" si="0"/>
        <v> PZP 4.82 </v>
      </c>
      <c r="B31" s="18" t="str">
        <f t="shared" si="1"/>
        <v>I</v>
      </c>
      <c r="C31" s="13">
        <f t="shared" si="2"/>
        <v>39953.56</v>
      </c>
      <c r="D31" s="16" t="str">
        <f t="shared" si="3"/>
        <v>vis</v>
      </c>
      <c r="E31" s="38">
        <f>VLOOKUP(C31,A!C$21:E$973,3,FALSE)</f>
        <v>1684.9814160884946</v>
      </c>
      <c r="F31" s="18" t="s">
        <v>50</v>
      </c>
      <c r="G31" s="16" t="str">
        <f t="shared" si="4"/>
        <v>39953.56</v>
      </c>
      <c r="H31" s="13">
        <f t="shared" si="5"/>
        <v>1685</v>
      </c>
      <c r="I31" s="39" t="s">
        <v>100</v>
      </c>
      <c r="J31" s="40" t="s">
        <v>101</v>
      </c>
      <c r="K31" s="39">
        <v>1685</v>
      </c>
      <c r="L31" s="39" t="s">
        <v>60</v>
      </c>
      <c r="M31" s="40" t="s">
        <v>55</v>
      </c>
      <c r="N31" s="40"/>
      <c r="O31" s="41" t="s">
        <v>56</v>
      </c>
      <c r="P31" s="41" t="s">
        <v>57</v>
      </c>
    </row>
    <row r="32" spans="1:16" ht="12.75" customHeight="1" thickBot="1">
      <c r="A32" s="13" t="str">
        <f t="shared" si="0"/>
        <v> PZP 4.82 </v>
      </c>
      <c r="B32" s="18" t="str">
        <f t="shared" si="1"/>
        <v>I</v>
      </c>
      <c r="C32" s="13">
        <f t="shared" si="2"/>
        <v>40036.41</v>
      </c>
      <c r="D32" s="16" t="str">
        <f t="shared" si="3"/>
        <v>vis</v>
      </c>
      <c r="E32" s="38">
        <f>VLOOKUP(C32,A!C$21:E$973,3,FALSE)</f>
        <v>1720.9686325257376</v>
      </c>
      <c r="F32" s="18" t="s">
        <v>50</v>
      </c>
      <c r="G32" s="16" t="str">
        <f t="shared" si="4"/>
        <v>40036.41</v>
      </c>
      <c r="H32" s="13">
        <f t="shared" si="5"/>
        <v>1721</v>
      </c>
      <c r="I32" s="39" t="s">
        <v>102</v>
      </c>
      <c r="J32" s="40" t="s">
        <v>103</v>
      </c>
      <c r="K32" s="39">
        <v>1721</v>
      </c>
      <c r="L32" s="39" t="s">
        <v>63</v>
      </c>
      <c r="M32" s="40" t="s">
        <v>55</v>
      </c>
      <c r="N32" s="40"/>
      <c r="O32" s="41" t="s">
        <v>56</v>
      </c>
      <c r="P32" s="41" t="s">
        <v>57</v>
      </c>
    </row>
    <row r="33" spans="1:16" ht="12.75" customHeight="1" thickBot="1">
      <c r="A33" s="13" t="str">
        <f t="shared" si="0"/>
        <v> PZP 4.82 </v>
      </c>
      <c r="B33" s="18" t="str">
        <f t="shared" si="1"/>
        <v>I</v>
      </c>
      <c r="C33" s="13">
        <f t="shared" si="2"/>
        <v>40386.46</v>
      </c>
      <c r="D33" s="16" t="str">
        <f t="shared" si="3"/>
        <v>vis</v>
      </c>
      <c r="E33" s="38">
        <f>VLOOKUP(C33,A!C$21:E$973,3,FALSE)</f>
        <v>1873.0184226748725</v>
      </c>
      <c r="F33" s="18" t="s">
        <v>50</v>
      </c>
      <c r="G33" s="16" t="str">
        <f t="shared" si="4"/>
        <v>40386.46</v>
      </c>
      <c r="H33" s="13">
        <f t="shared" si="5"/>
        <v>1873</v>
      </c>
      <c r="I33" s="39" t="s">
        <v>104</v>
      </c>
      <c r="J33" s="40" t="s">
        <v>105</v>
      </c>
      <c r="K33" s="39">
        <v>1873</v>
      </c>
      <c r="L33" s="39" t="s">
        <v>72</v>
      </c>
      <c r="M33" s="40" t="s">
        <v>55</v>
      </c>
      <c r="N33" s="40"/>
      <c r="O33" s="41" t="s">
        <v>56</v>
      </c>
      <c r="P33" s="41" t="s">
        <v>57</v>
      </c>
    </row>
    <row r="34" spans="1:16" ht="12.75" customHeight="1" thickBot="1">
      <c r="A34" s="13" t="str">
        <f t="shared" si="0"/>
        <v> PZP 4.82 </v>
      </c>
      <c r="B34" s="18" t="str">
        <f t="shared" si="1"/>
        <v>I</v>
      </c>
      <c r="C34" s="13">
        <f t="shared" si="2"/>
        <v>40775.42</v>
      </c>
      <c r="D34" s="16" t="str">
        <f t="shared" si="3"/>
        <v>vis</v>
      </c>
      <c r="E34" s="38">
        <f>VLOOKUP(C34,A!C$21:E$973,3,FALSE)</f>
        <v>2041.9693907548844</v>
      </c>
      <c r="F34" s="18" t="s">
        <v>50</v>
      </c>
      <c r="G34" s="16" t="str">
        <f t="shared" si="4"/>
        <v>40775.42</v>
      </c>
      <c r="H34" s="13">
        <f t="shared" si="5"/>
        <v>2042</v>
      </c>
      <c r="I34" s="39" t="s">
        <v>106</v>
      </c>
      <c r="J34" s="40" t="s">
        <v>107</v>
      </c>
      <c r="K34" s="39">
        <v>2042</v>
      </c>
      <c r="L34" s="39" t="s">
        <v>63</v>
      </c>
      <c r="M34" s="40" t="s">
        <v>55</v>
      </c>
      <c r="N34" s="40"/>
      <c r="O34" s="41" t="s">
        <v>56</v>
      </c>
      <c r="P34" s="41" t="s">
        <v>57</v>
      </c>
    </row>
    <row r="35" spans="1:16" ht="12.75" customHeight="1" thickBot="1">
      <c r="A35" s="13" t="str">
        <f t="shared" si="0"/>
        <v> PZP 4.82 </v>
      </c>
      <c r="B35" s="18" t="str">
        <f t="shared" si="1"/>
        <v>I</v>
      </c>
      <c r="C35" s="13">
        <f t="shared" si="2"/>
        <v>40828.39</v>
      </c>
      <c r="D35" s="16" t="str">
        <f t="shared" si="3"/>
        <v>vis</v>
      </c>
      <c r="E35" s="38">
        <f>VLOOKUP(C35,A!C$21:E$973,3,FALSE)</f>
        <v>2064.9777535150615</v>
      </c>
      <c r="F35" s="18" t="s">
        <v>50</v>
      </c>
      <c r="G35" s="16" t="str">
        <f t="shared" si="4"/>
        <v>40828.39</v>
      </c>
      <c r="H35" s="13">
        <f t="shared" si="5"/>
        <v>2065</v>
      </c>
      <c r="I35" s="39" t="s">
        <v>108</v>
      </c>
      <c r="J35" s="40" t="s">
        <v>109</v>
      </c>
      <c r="K35" s="39">
        <v>2065</v>
      </c>
      <c r="L35" s="39" t="s">
        <v>80</v>
      </c>
      <c r="M35" s="40" t="s">
        <v>55</v>
      </c>
      <c r="N35" s="40"/>
      <c r="O35" s="41" t="s">
        <v>56</v>
      </c>
      <c r="P35" s="41" t="s">
        <v>57</v>
      </c>
    </row>
    <row r="36" spans="1:16" ht="12.75" customHeight="1" thickBot="1">
      <c r="A36" s="13" t="str">
        <f t="shared" si="0"/>
        <v> PZP 4.82 </v>
      </c>
      <c r="B36" s="18" t="str">
        <f t="shared" si="1"/>
        <v>I</v>
      </c>
      <c r="C36" s="13">
        <f t="shared" si="2"/>
        <v>41887.38</v>
      </c>
      <c r="D36" s="16" t="str">
        <f t="shared" si="3"/>
        <v>vis</v>
      </c>
      <c r="E36" s="38">
        <f>VLOOKUP(C36,A!C$21:E$973,3,FALSE)</f>
        <v>2524.9669186915626</v>
      </c>
      <c r="F36" s="18" t="s">
        <v>50</v>
      </c>
      <c r="G36" s="16" t="str">
        <f t="shared" si="4"/>
        <v>41887.38</v>
      </c>
      <c r="H36" s="13">
        <f t="shared" si="5"/>
        <v>2525</v>
      </c>
      <c r="I36" s="39" t="s">
        <v>110</v>
      </c>
      <c r="J36" s="40" t="s">
        <v>111</v>
      </c>
      <c r="K36" s="39">
        <v>2525</v>
      </c>
      <c r="L36" s="39" t="s">
        <v>112</v>
      </c>
      <c r="M36" s="40" t="s">
        <v>55</v>
      </c>
      <c r="N36" s="40"/>
      <c r="O36" s="41" t="s">
        <v>56</v>
      </c>
      <c r="P36" s="41" t="s">
        <v>57</v>
      </c>
    </row>
    <row r="37" spans="1:16" ht="12.75" customHeight="1" thickBot="1">
      <c r="A37" s="13" t="str">
        <f t="shared" si="0"/>
        <v> PZP 4.82 </v>
      </c>
      <c r="B37" s="18" t="str">
        <f t="shared" si="1"/>
        <v>I</v>
      </c>
      <c r="C37" s="13">
        <f t="shared" si="2"/>
        <v>41917.34</v>
      </c>
      <c r="D37" s="16" t="str">
        <f t="shared" si="3"/>
        <v>vis</v>
      </c>
      <c r="E37" s="38">
        <f>VLOOKUP(C37,A!C$21:E$973,3,FALSE)</f>
        <v>2537.9805216421923</v>
      </c>
      <c r="F37" s="18" t="s">
        <v>50</v>
      </c>
      <c r="G37" s="16" t="str">
        <f t="shared" si="4"/>
        <v>41917.34</v>
      </c>
      <c r="H37" s="13">
        <f t="shared" si="5"/>
        <v>2538</v>
      </c>
      <c r="I37" s="39" t="s">
        <v>113</v>
      </c>
      <c r="J37" s="40" t="s">
        <v>114</v>
      </c>
      <c r="K37" s="39">
        <v>2538</v>
      </c>
      <c r="L37" s="39" t="s">
        <v>60</v>
      </c>
      <c r="M37" s="40" t="s">
        <v>55</v>
      </c>
      <c r="N37" s="40"/>
      <c r="O37" s="41" t="s">
        <v>56</v>
      </c>
      <c r="P37" s="41" t="s">
        <v>57</v>
      </c>
    </row>
    <row r="38" spans="1:16" ht="12.75" customHeight="1" thickBot="1">
      <c r="A38" s="13" t="str">
        <f t="shared" si="0"/>
        <v> BBS 113 </v>
      </c>
      <c r="B38" s="18" t="str">
        <f t="shared" si="1"/>
        <v>I</v>
      </c>
      <c r="C38" s="13">
        <f t="shared" si="2"/>
        <v>50343.4255</v>
      </c>
      <c r="D38" s="16" t="str">
        <f t="shared" si="3"/>
        <v>vis</v>
      </c>
      <c r="E38" s="38">
        <f>VLOOKUP(C38,A!C$21:E$973,3,FALSE)</f>
        <v>6197.984898313198</v>
      </c>
      <c r="F38" s="18" t="s">
        <v>50</v>
      </c>
      <c r="G38" s="16" t="str">
        <f t="shared" si="4"/>
        <v>50343.4255</v>
      </c>
      <c r="H38" s="13">
        <f t="shared" si="5"/>
        <v>6198</v>
      </c>
      <c r="I38" s="39" t="s">
        <v>115</v>
      </c>
      <c r="J38" s="40" t="s">
        <v>116</v>
      </c>
      <c r="K38" s="39">
        <v>6198</v>
      </c>
      <c r="L38" s="39" t="s">
        <v>117</v>
      </c>
      <c r="M38" s="40" t="s">
        <v>118</v>
      </c>
      <c r="N38" s="40" t="s">
        <v>119</v>
      </c>
      <c r="O38" s="41" t="s">
        <v>120</v>
      </c>
      <c r="P38" s="41" t="s">
        <v>121</v>
      </c>
    </row>
    <row r="39" spans="1:16" ht="12.75" customHeight="1" thickBot="1">
      <c r="A39" s="13" t="str">
        <f t="shared" si="0"/>
        <v> BBS 121 </v>
      </c>
      <c r="B39" s="18" t="str">
        <f t="shared" si="1"/>
        <v>I</v>
      </c>
      <c r="C39" s="13">
        <f t="shared" si="2"/>
        <v>51432.332</v>
      </c>
      <c r="D39" s="16" t="str">
        <f t="shared" si="3"/>
        <v>vis</v>
      </c>
      <c r="E39" s="38">
        <f>VLOOKUP(C39,A!C$21:E$973,3,FALSE)</f>
        <v>6670.968771522831</v>
      </c>
      <c r="F39" s="18" t="s">
        <v>50</v>
      </c>
      <c r="G39" s="16" t="str">
        <f t="shared" si="4"/>
        <v>51432.332</v>
      </c>
      <c r="H39" s="13">
        <f t="shared" si="5"/>
        <v>6671</v>
      </c>
      <c r="I39" s="39" t="s">
        <v>132</v>
      </c>
      <c r="J39" s="40" t="s">
        <v>133</v>
      </c>
      <c r="K39" s="39">
        <v>6671</v>
      </c>
      <c r="L39" s="39" t="s">
        <v>134</v>
      </c>
      <c r="M39" s="40" t="s">
        <v>118</v>
      </c>
      <c r="N39" s="40" t="s">
        <v>119</v>
      </c>
      <c r="O39" s="41" t="s">
        <v>120</v>
      </c>
      <c r="P39" s="41" t="s">
        <v>135</v>
      </c>
    </row>
    <row r="40" spans="1:16" ht="12.75" customHeight="1" thickBot="1">
      <c r="A40" s="13" t="str">
        <f t="shared" si="0"/>
        <v> BBS 123 </v>
      </c>
      <c r="B40" s="18" t="str">
        <f t="shared" si="1"/>
        <v>I</v>
      </c>
      <c r="C40" s="13">
        <f t="shared" si="2"/>
        <v>51798.368</v>
      </c>
      <c r="D40" s="16" t="str">
        <f t="shared" si="3"/>
        <v>vis</v>
      </c>
      <c r="E40" s="38">
        <f>VLOOKUP(C40,A!C$21:E$973,3,FALSE)</f>
        <v>6829.962335262381</v>
      </c>
      <c r="F40" s="18" t="s">
        <v>50</v>
      </c>
      <c r="G40" s="16" t="str">
        <f t="shared" si="4"/>
        <v>51798.368</v>
      </c>
      <c r="H40" s="13">
        <f t="shared" si="5"/>
        <v>6830</v>
      </c>
      <c r="I40" s="39" t="s">
        <v>136</v>
      </c>
      <c r="J40" s="40" t="s">
        <v>137</v>
      </c>
      <c r="K40" s="39">
        <v>6830</v>
      </c>
      <c r="L40" s="39" t="s">
        <v>138</v>
      </c>
      <c r="M40" s="40" t="s">
        <v>118</v>
      </c>
      <c r="N40" s="40" t="s">
        <v>119</v>
      </c>
      <c r="O40" s="41" t="s">
        <v>120</v>
      </c>
      <c r="P40" s="41" t="s">
        <v>139</v>
      </c>
    </row>
    <row r="41" spans="1:16" ht="12.75" customHeight="1" thickBot="1">
      <c r="A41" s="13" t="str">
        <f t="shared" si="0"/>
        <v> BBS 125 </v>
      </c>
      <c r="B41" s="18" t="str">
        <f t="shared" si="1"/>
        <v>I</v>
      </c>
      <c r="C41" s="13">
        <f t="shared" si="2"/>
        <v>52065.413</v>
      </c>
      <c r="D41" s="16" t="str">
        <f t="shared" si="3"/>
        <v>vis</v>
      </c>
      <c r="E41" s="38">
        <f>VLOOKUP(C41,A!C$21:E$973,3,FALSE)</f>
        <v>6945.957582256741</v>
      </c>
      <c r="F41" s="18" t="s">
        <v>50</v>
      </c>
      <c r="G41" s="16" t="str">
        <f t="shared" si="4"/>
        <v>52065.413</v>
      </c>
      <c r="H41" s="13">
        <f t="shared" si="5"/>
        <v>6946</v>
      </c>
      <c r="I41" s="39" t="s">
        <v>140</v>
      </c>
      <c r="J41" s="40" t="s">
        <v>141</v>
      </c>
      <c r="K41" s="39">
        <v>6946</v>
      </c>
      <c r="L41" s="39" t="s">
        <v>142</v>
      </c>
      <c r="M41" s="40" t="s">
        <v>118</v>
      </c>
      <c r="N41" s="40" t="s">
        <v>119</v>
      </c>
      <c r="O41" s="41" t="s">
        <v>120</v>
      </c>
      <c r="P41" s="41" t="s">
        <v>143</v>
      </c>
    </row>
    <row r="42" spans="1:16" ht="12.75" customHeight="1" thickBot="1">
      <c r="A42" s="13" t="str">
        <f t="shared" si="0"/>
        <v>BAVM 225 </v>
      </c>
      <c r="B42" s="18" t="str">
        <f t="shared" si="1"/>
        <v>I</v>
      </c>
      <c r="C42" s="13">
        <f t="shared" si="2"/>
        <v>55790.4155</v>
      </c>
      <c r="D42" s="16" t="str">
        <f t="shared" si="3"/>
        <v>vis</v>
      </c>
      <c r="E42" s="38">
        <f>VLOOKUP(C42,A!C$21:E$973,3,FALSE)</f>
        <v>8563.971718608722</v>
      </c>
      <c r="F42" s="18" t="s">
        <v>50</v>
      </c>
      <c r="G42" s="16" t="str">
        <f t="shared" si="4"/>
        <v>55790.4155</v>
      </c>
      <c r="H42" s="13">
        <f t="shared" si="5"/>
        <v>8564</v>
      </c>
      <c r="I42" s="39" t="s">
        <v>144</v>
      </c>
      <c r="J42" s="40" t="s">
        <v>145</v>
      </c>
      <c r="K42" s="39">
        <v>8564</v>
      </c>
      <c r="L42" s="39" t="s">
        <v>146</v>
      </c>
      <c r="M42" s="40" t="s">
        <v>147</v>
      </c>
      <c r="N42" s="40" t="s">
        <v>148</v>
      </c>
      <c r="O42" s="41" t="s">
        <v>149</v>
      </c>
      <c r="P42" s="42" t="s">
        <v>150</v>
      </c>
    </row>
    <row r="43" spans="2:6" ht="12.75">
      <c r="B43" s="18"/>
      <c r="E43" s="38"/>
      <c r="F43" s="18"/>
    </row>
    <row r="44" spans="2:6" ht="12.75">
      <c r="B44" s="18"/>
      <c r="E44" s="38"/>
      <c r="F44" s="18"/>
    </row>
    <row r="45" spans="2:6" ht="12.75">
      <c r="B45" s="18"/>
      <c r="E45" s="38"/>
      <c r="F45" s="18"/>
    </row>
    <row r="46" spans="2:6" ht="12.75">
      <c r="B46" s="18"/>
      <c r="E46" s="38"/>
      <c r="F46" s="18"/>
    </row>
    <row r="47" spans="2:6" ht="12.75">
      <c r="B47" s="18"/>
      <c r="E47" s="38"/>
      <c r="F47" s="18"/>
    </row>
    <row r="48" spans="2:6" ht="12.75">
      <c r="B48" s="18"/>
      <c r="E48" s="38"/>
      <c r="F48" s="18"/>
    </row>
    <row r="49" spans="2:6" ht="12.75">
      <c r="B49" s="18"/>
      <c r="E49" s="38"/>
      <c r="F49" s="18"/>
    </row>
    <row r="50" spans="2:6" ht="12.75">
      <c r="B50" s="18"/>
      <c r="E50" s="38"/>
      <c r="F50" s="18"/>
    </row>
    <row r="51" spans="2:6" ht="12.75">
      <c r="B51" s="18"/>
      <c r="E51" s="38"/>
      <c r="F51" s="18"/>
    </row>
    <row r="52" spans="2:6" ht="12.75">
      <c r="B52" s="18"/>
      <c r="E52" s="38"/>
      <c r="F52" s="18"/>
    </row>
    <row r="53" spans="2:6" ht="12.75">
      <c r="B53" s="18"/>
      <c r="E53" s="38"/>
      <c r="F53" s="18"/>
    </row>
    <row r="54" spans="2:6" ht="12.75">
      <c r="B54" s="18"/>
      <c r="E54" s="38"/>
      <c r="F54" s="18"/>
    </row>
    <row r="55" spans="2:6" ht="12.75">
      <c r="B55" s="18"/>
      <c r="E55" s="38"/>
      <c r="F55" s="18"/>
    </row>
    <row r="56" spans="2:6" ht="12.75">
      <c r="B56" s="18"/>
      <c r="E56" s="38"/>
      <c r="F56" s="18"/>
    </row>
    <row r="57" spans="2:6" ht="12.75">
      <c r="B57" s="18"/>
      <c r="E57" s="38"/>
      <c r="F57" s="18"/>
    </row>
    <row r="58" spans="2:6" ht="12.75">
      <c r="B58" s="18"/>
      <c r="E58" s="38"/>
      <c r="F58" s="18"/>
    </row>
    <row r="59" spans="2:6" ht="12.75">
      <c r="B59" s="18"/>
      <c r="E59" s="38"/>
      <c r="F59" s="18"/>
    </row>
    <row r="60" spans="2:6" ht="12.75">
      <c r="B60" s="18"/>
      <c r="E60" s="38"/>
      <c r="F60" s="18"/>
    </row>
    <row r="61" spans="2:6" ht="12.75">
      <c r="B61" s="18"/>
      <c r="E61" s="38"/>
      <c r="F61" s="18"/>
    </row>
    <row r="62" spans="2:6" ht="12.75">
      <c r="B62" s="18"/>
      <c r="E62" s="38"/>
      <c r="F62" s="18"/>
    </row>
    <row r="63" spans="2:6" ht="12.75">
      <c r="B63" s="18"/>
      <c r="E63" s="38"/>
      <c r="F63" s="18"/>
    </row>
    <row r="64" spans="2:6" ht="12.75">
      <c r="B64" s="18"/>
      <c r="E64" s="38"/>
      <c r="F64" s="18"/>
    </row>
    <row r="65" spans="2:6" ht="12.75">
      <c r="B65" s="18"/>
      <c r="E65" s="38"/>
      <c r="F65" s="18"/>
    </row>
    <row r="66" spans="2:6" ht="12.75">
      <c r="B66" s="18"/>
      <c r="E66" s="38"/>
      <c r="F66" s="18"/>
    </row>
    <row r="67" spans="2:6" ht="12.75">
      <c r="B67" s="18"/>
      <c r="E67" s="38"/>
      <c r="F67" s="18"/>
    </row>
    <row r="68" spans="2:6" ht="12.75">
      <c r="B68" s="18"/>
      <c r="E68" s="38"/>
      <c r="F68" s="18"/>
    </row>
    <row r="69" spans="2:6" ht="12.75">
      <c r="B69" s="18"/>
      <c r="E69" s="38"/>
      <c r="F69" s="18"/>
    </row>
    <row r="70" spans="2:6" ht="12.75">
      <c r="B70" s="18"/>
      <c r="E70" s="38"/>
      <c r="F70" s="18"/>
    </row>
    <row r="71" spans="2:6" ht="12.75">
      <c r="B71" s="18"/>
      <c r="E71" s="38"/>
      <c r="F71" s="18"/>
    </row>
    <row r="72" spans="2:6" ht="12.75">
      <c r="B72" s="18"/>
      <c r="E72" s="38"/>
      <c r="F72" s="18"/>
    </row>
    <row r="73" spans="2:6" ht="12.75">
      <c r="B73" s="18"/>
      <c r="E73" s="38"/>
      <c r="F73" s="18"/>
    </row>
    <row r="74" spans="2:6" ht="12.75">
      <c r="B74" s="18"/>
      <c r="E74" s="38"/>
      <c r="F74" s="18"/>
    </row>
    <row r="75" spans="2:6" ht="12.75">
      <c r="B75" s="18"/>
      <c r="E75" s="38"/>
      <c r="F75" s="18"/>
    </row>
    <row r="76" spans="2:6" ht="12.75">
      <c r="B76" s="18"/>
      <c r="E76" s="38"/>
      <c r="F76" s="18"/>
    </row>
    <row r="77" spans="2:6" ht="12.75">
      <c r="B77" s="18"/>
      <c r="E77" s="38"/>
      <c r="F77" s="18"/>
    </row>
    <row r="78" spans="2:6" ht="12.75">
      <c r="B78" s="18"/>
      <c r="E78" s="38"/>
      <c r="F78" s="18"/>
    </row>
    <row r="79" spans="2:6" ht="12.75">
      <c r="B79" s="18"/>
      <c r="E79" s="38"/>
      <c r="F79" s="18"/>
    </row>
    <row r="80" spans="2:6" ht="12.75">
      <c r="B80" s="18"/>
      <c r="E80" s="38"/>
      <c r="F80" s="18"/>
    </row>
    <row r="81" spans="2:6" ht="12.75">
      <c r="B81" s="18"/>
      <c r="E81" s="38"/>
      <c r="F81" s="18"/>
    </row>
    <row r="82" spans="2:6" ht="12.75">
      <c r="B82" s="18"/>
      <c r="E82" s="38"/>
      <c r="F82" s="18"/>
    </row>
    <row r="83" spans="2:6" ht="12.75">
      <c r="B83" s="18"/>
      <c r="E83" s="38"/>
      <c r="F83" s="18"/>
    </row>
    <row r="84" spans="2:6" ht="12.75">
      <c r="B84" s="18"/>
      <c r="E84" s="3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  <row r="799" spans="2:6" ht="12.75">
      <c r="B799" s="18"/>
      <c r="F799" s="18"/>
    </row>
    <row r="800" spans="2:6" ht="12.75">
      <c r="B800" s="18"/>
      <c r="F800" s="18"/>
    </row>
    <row r="801" spans="2:6" ht="12.75">
      <c r="B801" s="18"/>
      <c r="F801" s="18"/>
    </row>
    <row r="802" spans="2:6" ht="12.75">
      <c r="B802" s="18"/>
      <c r="F802" s="18"/>
    </row>
    <row r="803" spans="2:6" ht="12.75">
      <c r="B803" s="18"/>
      <c r="F803" s="18"/>
    </row>
    <row r="804" spans="2:6" ht="12.75">
      <c r="B804" s="18"/>
      <c r="F804" s="18"/>
    </row>
    <row r="805" spans="2:6" ht="12.75">
      <c r="B805" s="18"/>
      <c r="F805" s="18"/>
    </row>
    <row r="806" spans="2:6" ht="12.75">
      <c r="B806" s="18"/>
      <c r="F806" s="18"/>
    </row>
    <row r="807" spans="2:6" ht="12.75">
      <c r="B807" s="18"/>
      <c r="F807" s="18"/>
    </row>
    <row r="808" spans="2:6" ht="12.75">
      <c r="B808" s="18"/>
      <c r="F808" s="18"/>
    </row>
    <row r="809" spans="2:6" ht="12.75">
      <c r="B809" s="18"/>
      <c r="F809" s="18"/>
    </row>
    <row r="810" spans="2:6" ht="12.75">
      <c r="B810" s="18"/>
      <c r="F810" s="18"/>
    </row>
    <row r="811" spans="2:6" ht="12.75">
      <c r="B811" s="18"/>
      <c r="F811" s="18"/>
    </row>
    <row r="812" spans="2:6" ht="12.75">
      <c r="B812" s="18"/>
      <c r="F812" s="18"/>
    </row>
    <row r="813" spans="2:6" ht="12.75">
      <c r="B813" s="18"/>
      <c r="F813" s="18"/>
    </row>
    <row r="814" spans="2:6" ht="12.75">
      <c r="B814" s="18"/>
      <c r="F814" s="18"/>
    </row>
    <row r="815" spans="2:6" ht="12.75">
      <c r="B815" s="18"/>
      <c r="F815" s="18"/>
    </row>
    <row r="816" spans="2:6" ht="12.75">
      <c r="B816" s="18"/>
      <c r="F816" s="18"/>
    </row>
    <row r="817" spans="2:6" ht="12.75">
      <c r="B817" s="18"/>
      <c r="F817" s="18"/>
    </row>
    <row r="818" spans="2:6" ht="12.75">
      <c r="B818" s="18"/>
      <c r="F818" s="18"/>
    </row>
    <row r="819" spans="2:6" ht="12.75">
      <c r="B819" s="18"/>
      <c r="F819" s="18"/>
    </row>
    <row r="820" spans="2:6" ht="12.75">
      <c r="B820" s="18"/>
      <c r="F820" s="18"/>
    </row>
    <row r="821" spans="2:6" ht="12.75">
      <c r="B821" s="18"/>
      <c r="F821" s="18"/>
    </row>
    <row r="822" spans="2:6" ht="12.75">
      <c r="B822" s="18"/>
      <c r="F822" s="18"/>
    </row>
    <row r="823" spans="2:6" ht="12.75">
      <c r="B823" s="18"/>
      <c r="F823" s="18"/>
    </row>
    <row r="824" spans="2:6" ht="12.75">
      <c r="B824" s="18"/>
      <c r="F824" s="18"/>
    </row>
    <row r="825" spans="2:6" ht="12.75">
      <c r="B825" s="18"/>
      <c r="F825" s="18"/>
    </row>
    <row r="826" spans="2:6" ht="12.75">
      <c r="B826" s="18"/>
      <c r="F826" s="18"/>
    </row>
    <row r="827" spans="2:6" ht="12.75">
      <c r="B827" s="18"/>
      <c r="F827" s="18"/>
    </row>
    <row r="828" spans="2:6" ht="12.75">
      <c r="B828" s="18"/>
      <c r="F828" s="18"/>
    </row>
    <row r="829" spans="2:6" ht="12.75">
      <c r="B829" s="18"/>
      <c r="F829" s="18"/>
    </row>
    <row r="830" spans="2:6" ht="12.75">
      <c r="B830" s="18"/>
      <c r="F830" s="18"/>
    </row>
    <row r="831" spans="2:6" ht="12.75">
      <c r="B831" s="18"/>
      <c r="F831" s="18"/>
    </row>
    <row r="832" spans="2:6" ht="12.75">
      <c r="B832" s="18"/>
      <c r="F832" s="18"/>
    </row>
    <row r="833" spans="2:6" ht="12.75">
      <c r="B833" s="18"/>
      <c r="F833" s="18"/>
    </row>
    <row r="834" spans="2:6" ht="12.75">
      <c r="B834" s="18"/>
      <c r="F834" s="18"/>
    </row>
    <row r="835" spans="2:6" ht="12.75">
      <c r="B835" s="18"/>
      <c r="F835" s="18"/>
    </row>
    <row r="836" spans="2:6" ht="12.75">
      <c r="B836" s="18"/>
      <c r="F836" s="18"/>
    </row>
    <row r="837" spans="2:6" ht="12.75">
      <c r="B837" s="18"/>
      <c r="F837" s="18"/>
    </row>
    <row r="838" spans="2:6" ht="12.75">
      <c r="B838" s="18"/>
      <c r="F838" s="18"/>
    </row>
    <row r="839" spans="2:6" ht="12.75">
      <c r="B839" s="18"/>
      <c r="F839" s="18"/>
    </row>
    <row r="840" spans="2:6" ht="12.75">
      <c r="B840" s="18"/>
      <c r="F840" s="18"/>
    </row>
    <row r="841" spans="2:6" ht="12.75">
      <c r="B841" s="18"/>
      <c r="F841" s="18"/>
    </row>
    <row r="842" spans="2:6" ht="12.75">
      <c r="B842" s="18"/>
      <c r="F842" s="18"/>
    </row>
    <row r="843" spans="2:6" ht="12.75">
      <c r="B843" s="18"/>
      <c r="F843" s="18"/>
    </row>
    <row r="844" spans="2:6" ht="12.75">
      <c r="B844" s="18"/>
      <c r="F844" s="18"/>
    </row>
    <row r="845" spans="2:6" ht="12.75">
      <c r="B845" s="18"/>
      <c r="F845" s="18"/>
    </row>
    <row r="846" spans="2:6" ht="12.75">
      <c r="B846" s="18"/>
      <c r="F846" s="18"/>
    </row>
    <row r="847" spans="2:6" ht="12.75">
      <c r="B847" s="18"/>
      <c r="F847" s="18"/>
    </row>
    <row r="848" spans="2:6" ht="12.75">
      <c r="B848" s="18"/>
      <c r="F848" s="18"/>
    </row>
    <row r="849" spans="2:6" ht="12.75">
      <c r="B849" s="18"/>
      <c r="F849" s="18"/>
    </row>
    <row r="850" spans="2:6" ht="12.75">
      <c r="B850" s="18"/>
      <c r="F850" s="18"/>
    </row>
    <row r="851" spans="2:6" ht="12.75">
      <c r="B851" s="18"/>
      <c r="F851" s="18"/>
    </row>
    <row r="852" spans="2:6" ht="12.75">
      <c r="B852" s="18"/>
      <c r="F852" s="18"/>
    </row>
    <row r="853" spans="2:6" ht="12.75">
      <c r="B853" s="18"/>
      <c r="F853" s="18"/>
    </row>
    <row r="854" spans="2:6" ht="12.75">
      <c r="B854" s="18"/>
      <c r="F854" s="18"/>
    </row>
    <row r="855" spans="2:6" ht="12.75">
      <c r="B855" s="18"/>
      <c r="F855" s="18"/>
    </row>
    <row r="856" spans="2:6" ht="12.75">
      <c r="B856" s="18"/>
      <c r="F856" s="18"/>
    </row>
    <row r="857" spans="2:6" ht="12.75">
      <c r="B857" s="18"/>
      <c r="F857" s="18"/>
    </row>
    <row r="858" spans="2:6" ht="12.75">
      <c r="B858" s="18"/>
      <c r="F858" s="18"/>
    </row>
    <row r="859" spans="2:6" ht="12.75">
      <c r="B859" s="18"/>
      <c r="F859" s="18"/>
    </row>
    <row r="860" spans="2:6" ht="12.75">
      <c r="B860" s="18"/>
      <c r="F860" s="18"/>
    </row>
    <row r="861" spans="2:6" ht="12.75">
      <c r="B861" s="18"/>
      <c r="F861" s="18"/>
    </row>
    <row r="862" spans="2:6" ht="12.75">
      <c r="B862" s="18"/>
      <c r="F862" s="18"/>
    </row>
    <row r="863" spans="2:6" ht="12.75">
      <c r="B863" s="18"/>
      <c r="F863" s="18"/>
    </row>
    <row r="864" spans="2:6" ht="12.75">
      <c r="B864" s="18"/>
      <c r="F864" s="18"/>
    </row>
    <row r="865" spans="2:6" ht="12.75">
      <c r="B865" s="18"/>
      <c r="F865" s="18"/>
    </row>
    <row r="866" spans="2:6" ht="12.75">
      <c r="B866" s="18"/>
      <c r="F866" s="18"/>
    </row>
    <row r="867" spans="2:6" ht="12.75">
      <c r="B867" s="18"/>
      <c r="F867" s="18"/>
    </row>
    <row r="868" spans="2:6" ht="12.75">
      <c r="B868" s="18"/>
      <c r="F868" s="18"/>
    </row>
    <row r="869" spans="2:6" ht="12.75">
      <c r="B869" s="18"/>
      <c r="F869" s="18"/>
    </row>
    <row r="870" spans="2:6" ht="12.75">
      <c r="B870" s="18"/>
      <c r="F870" s="18"/>
    </row>
    <row r="871" spans="2:6" ht="12.75">
      <c r="B871" s="18"/>
      <c r="F871" s="18"/>
    </row>
    <row r="872" spans="2:6" ht="12.75">
      <c r="B872" s="18"/>
      <c r="F872" s="18"/>
    </row>
  </sheetData>
  <sheetProtection/>
  <hyperlinks>
    <hyperlink ref="P11" r:id="rId1" display="http://www.konkoly.hu/cgi-bin/IBVS?4887"/>
    <hyperlink ref="P12" r:id="rId2" display="http://www.konkoly.hu/cgi-bin/IBVS?4888"/>
    <hyperlink ref="P42" r:id="rId3" display="http://www.bav-astro.de/sfs/BAVM_link.php?BAVMnr=225"/>
    <hyperlink ref="P13" r:id="rId4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