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700" windowHeight="134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<sst xmlns="http://schemas.openxmlformats.org/spreadsheetml/2006/main" count="160" uniqueCount="119">
  <si>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</si>
  <si>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</si>
  <si>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</si>
  <si>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</si>
  <si>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</si>
  <si>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</si>
  <si>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</si>
  <si>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</si>
  <si>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</si>
  <si>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</si>
  <si>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</si>
  <si>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</si>
  <si>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</si>
  <si>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</si>
  <si>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</si>
  <si>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</si>
  <si>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</si>
  <si>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</si>
  <si>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</si>
  <si>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</si>
  <si>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</si>
  <si>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</si>
  <si>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</si>
  <si>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</si>
  <si>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</si>
  <si>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</si>
  <si>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</si>
  <si>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Diethelm R</t>
  </si>
  <si>
    <t>BBSAG Bull.113</t>
  </si>
  <si>
    <t>B</t>
  </si>
  <si>
    <t>II</t>
  </si>
  <si>
    <t>BBSAG</t>
  </si>
  <si>
    <t>Nelson</t>
  </si>
  <si>
    <t>IBVS 5583</t>
  </si>
  <si>
    <t>I</t>
  </si>
  <si>
    <t>IBVS 5602</t>
  </si>
  <si>
    <t>EW</t>
  </si>
  <si>
    <t># of data points:</t>
  </si>
  <si>
    <t>IBVS 5713</t>
  </si>
  <si>
    <t>IBVS</t>
  </si>
  <si>
    <t>MZ Lyr / gsc 2117-2727?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</si>
  <si>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</si>
  <si>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</si>
  <si>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</si>
  <si>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</si>
  <si>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</si>
  <si>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</si>
  <si>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</si>
  <si>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</si>
  <si>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OEJV</t>
  </si>
  <si>
    <t>BAD</t>
  </si>
  <si>
    <t>Add cycle</t>
  </si>
  <si>
    <t>Old Cycle</t>
  </si>
  <si>
    <t>IBVS 5918</t>
  </si>
  <si>
    <t>IBVS 6070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</si>
  <si>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</si>
  <si>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</si>
  <si>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</si>
  <si>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</si>
  <si>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</si>
  <si>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</si>
  <si>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</si>
  <si>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</si>
  <si>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</si>
  <si>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</si>
  <si>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</si>
  <si>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</si>
  <si>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2450320.362 </t>
  </si>
  <si>
    <t> 24.08.1996 20:41 </t>
  </si>
  <si>
    <t> -0.004 </t>
  </si>
  <si>
    <t>E </t>
  </si>
  <si>
    <t>?</t>
  </si>
  <si>
    <t> R.Diethelm </t>
  </si>
  <si>
    <t> BBS 113 </t>
  </si>
  <si>
    <t>2451327.418 </t>
  </si>
  <si>
    <t> 28.05.1999 22:01 </t>
  </si>
  <si>
    <t> -0.008 </t>
  </si>
  <si>
    <t> BBS 120 </t>
  </si>
  <si>
    <t>2451698.41678 </t>
  </si>
  <si>
    <t> 02.06.2000 22:00 </t>
  </si>
  <si>
    <t> -0.00621 </t>
  </si>
  <si>
    <t>C </t>
  </si>
  <si>
    <t>o</t>
  </si>
  <si>
    <t> J.Šafár </t>
  </si>
  <si>
    <t>OEJV 0074 </t>
  </si>
  <si>
    <t>2452082.472 </t>
  </si>
  <si>
    <t> 21.06.2001 23:19 </t>
  </si>
  <si>
    <t> BBS 125 </t>
  </si>
  <si>
    <t>2452141.4879 </t>
  </si>
  <si>
    <t> 19.08.2001 23:42 </t>
  </si>
  <si>
    <t> -0.0030 </t>
  </si>
  <si>
    <t> M.Zejda </t>
  </si>
  <si>
    <t>IBVS 5583 </t>
  </si>
  <si>
    <t>2453138.868 </t>
  </si>
  <si>
    <t> 13.05.2004 08:49 </t>
  </si>
  <si>
    <t> -0.009 </t>
  </si>
  <si>
    <t> R.Nelson </t>
  </si>
  <si>
    <t>IBVS 5602 </t>
  </si>
  <si>
    <t>2453895.374 </t>
  </si>
  <si>
    <t> 08.06.2006 20:58 </t>
  </si>
  <si>
    <t> R. Diethelm </t>
  </si>
  <si>
    <t>IBVS 5713 </t>
  </si>
  <si>
    <t>2454959.5119 </t>
  </si>
  <si>
    <t> 08.05.2009 00:17 </t>
  </si>
  <si>
    <t> -0.0071 </t>
  </si>
  <si>
    <t>-I</t>
  </si>
  <si>
    <t> F.Agerer </t>
  </si>
  <si>
    <t>BAVM 209 </t>
  </si>
  <si>
    <t>2456072.5013 </t>
  </si>
  <si>
    <t> 25.05.2012 00:01 </t>
  </si>
  <si>
    <t>19916.5</t>
  </si>
  <si>
    <t> -0.0081 </t>
  </si>
  <si>
    <t>BAVM 231 </t>
  </si>
  <si>
    <t>2457144.8596 </t>
  </si>
  <si>
    <t> 02.05.2015 08:37 </t>
  </si>
  <si>
    <t>21025</t>
  </si>
  <si>
    <t> -0.0096 </t>
  </si>
  <si>
    <t> W.Moschner &amp; P.Frank </t>
  </si>
  <si>
    <t>BAVM 241 (=IBVS 6157)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</si>
</sst>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MZ Lyr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910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0.0022</c:v>
                  </c:pt>
                  <c:pt idx="4">
                    <c:v>NaN</c:v>
                  </c:pt>
                  <c:pt idx="5">
                    <c:v>0.0067</c:v>
                  </c:pt>
                  <c:pt idx="6">
                    <c:v>0.001</c:v>
                  </c:pt>
                  <c:pt idx="7">
                    <c:v>0.005</c:v>
                  </c:pt>
                  <c:pt idx="8">
                    <c:v>0.0004</c:v>
                  </c:pt>
                  <c:pt idx="9">
                    <c:v>0.0024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51852154"/>
        <c:axId val="27317459"/>
      </c:scatterChart>
      <c:valAx>
        <c:axId val="51852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7459"/>
        <c:crosses val="autoZero"/>
        <c:crossBetween val="midCat"/>
        <c:dispUnits/>
      </c:valAx>
      <c:valAx>
        <c:axId val="27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21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305"/>
          <c:w val="0.858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16</xdr:col>
      <xdr:colOff>161925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838575" y="28575"/>
        <a:ext cx="6334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583" TargetMode="External" /><Relationship Id="rId3" Type="http://schemas.openxmlformats.org/officeDocument/2006/relationships/hyperlink" Target="http://www.konkoly.hu/cgi-bin/IBVS?5602" TargetMode="External" /><Relationship Id="rId4" Type="http://schemas.openxmlformats.org/officeDocument/2006/relationships/hyperlink" Target="http://www.konkoly.hu/cgi-bin/IBVS?5713" TargetMode="External" /><Relationship Id="rId5" Type="http://schemas.openxmlformats.org/officeDocument/2006/relationships/hyperlink" Target="http://www.bav-astro.de/sfs/BAVM_link.php?BAVMnr=209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8" t="s">
        <v>40</v>
      </c>
    </row>
    <row r="2" spans="1:2" ht="12.75">
      <c r="A2" t="s">
        <v>24</v>
      </c>
      <c r="B2" s="9" t="s">
        <v>36</v>
      </c>
    </row>
    <row r="3" ht="13.5" thickBot="1"/>
    <row r="4" spans="1:4" ht="14.25" thickBot="1" thickTop="1">
      <c r="A4" s="5" t="s">
        <v>0</v>
      </c>
      <c r="C4" s="2">
        <v>36805.3431</v>
      </c>
      <c r="D4" s="3">
        <v>0.9673972</v>
      </c>
    </row>
    <row r="5" ht="13.5" thickTop="1"/>
    <row r="6" ht="12.75">
      <c r="A6" s="5" t="s">
        <v>1</v>
      </c>
    </row>
    <row r="7" spans="1:3" ht="12.75">
      <c r="A7" t="s">
        <v>2</v>
      </c>
      <c r="C7">
        <f>+C4</f>
        <v>36805.3431</v>
      </c>
    </row>
    <row r="8" spans="1:3" ht="12.75">
      <c r="A8" t="s">
        <v>3</v>
      </c>
      <c r="C8">
        <f>+D4</f>
        <v>0.9673972</v>
      </c>
    </row>
    <row r="9" spans="1:5" ht="12.75">
      <c r="A9" s="13" t="s">
        <v>41</v>
      </c>
      <c r="B9" s="14"/>
      <c r="C9" s="15">
        <v>-9.5</v>
      </c>
      <c r="D9" s="14" t="s">
        <v>42</v>
      </c>
      <c r="E9" s="14"/>
    </row>
    <row r="10" spans="1:5" ht="13.5" thickBot="1">
      <c r="A10" s="14"/>
      <c r="B10" s="14"/>
      <c r="C10" s="4" t="s">
        <v>20</v>
      </c>
      <c r="D10" s="4" t="s">
        <v>21</v>
      </c>
      <c r="E10" s="14"/>
    </row>
    <row r="11" spans="1:7" ht="12.75">
      <c r="A11" s="14" t="s">
        <v>16</v>
      </c>
      <c r="B11" s="14"/>
      <c r="C11" s="30">
        <f ca="1">INTERCEPT(INDIRECT($G$11):G992,INDIRECT($F$11):F992)</f>
        <v>0.0007001626685108559</v>
      </c>
      <c r="D11" s="16"/>
      <c r="E11" s="14"/>
      <c r="F11" s="31" t="str">
        <f>"F"&amp;E19</f>
        <v>F22</v>
      </c>
      <c r="G11" s="29" t="str">
        <f>"G"&amp;E19</f>
        <v>G22</v>
      </c>
    </row>
    <row r="12" spans="1:5" ht="12.75">
      <c r="A12" s="14" t="s">
        <v>17</v>
      </c>
      <c r="B12" s="14"/>
      <c r="C12" s="30">
        <f ca="1">SLOPE(INDIRECT($G$11):G992,INDIRECT($F$11):F992)</f>
        <v>-4.813115881339704E-07</v>
      </c>
      <c r="D12" s="16"/>
      <c r="E12" s="14"/>
    </row>
    <row r="13" spans="1:5" ht="12.75">
      <c r="A13" s="14" t="s">
        <v>19</v>
      </c>
      <c r="B13" s="14"/>
      <c r="C13" s="16" t="s">
        <v>14</v>
      </c>
      <c r="D13" s="18" t="s">
        <v>51</v>
      </c>
      <c r="E13" s="15">
        <v>1</v>
      </c>
    </row>
    <row r="14" spans="1:5" ht="12.75">
      <c r="A14" s="14"/>
      <c r="B14" s="14"/>
      <c r="C14" s="14"/>
      <c r="D14" s="18" t="s">
        <v>43</v>
      </c>
      <c r="E14" s="19">
        <f ca="1">NOW()+15018.5+$C$9/24</f>
        <v>59903.67990902778</v>
      </c>
    </row>
    <row r="15" spans="1:5" ht="12.75">
      <c r="A15" s="17" t="s">
        <v>18</v>
      </c>
      <c r="B15" s="14"/>
      <c r="C15" s="11">
        <f>(C7+C11)+(C8+C12)*INT(MAX(F21:F3533))</f>
        <v>57144.859810586524</v>
      </c>
      <c r="D15" s="18" t="s">
        <v>52</v>
      </c>
      <c r="E15" s="19">
        <f>ROUND(2*(E14-$C$7)/$C$8,0)/2+E13</f>
        <v>23878</v>
      </c>
    </row>
    <row r="16" spans="1:5" ht="12.75">
      <c r="A16" s="20" t="s">
        <v>4</v>
      </c>
      <c r="B16" s="14"/>
      <c r="C16" s="21">
        <f>+C8+C12</f>
        <v>0.9673967186884118</v>
      </c>
      <c r="D16" s="18" t="s">
        <v>44</v>
      </c>
      <c r="E16" s="29">
        <f>ROUND(2*(E14-$C$15)/$C$16,0)/2+E13</f>
        <v>2853</v>
      </c>
    </row>
    <row r="17" spans="1:5" ht="13.5" thickBot="1">
      <c r="A17" s="18" t="s">
        <v>37</v>
      </c>
      <c r="B17" s="14"/>
      <c r="C17" s="14">
        <f>COUNT(C21:C2191)</f>
        <v>11</v>
      </c>
      <c r="D17" s="18" t="s">
        <v>45</v>
      </c>
      <c r="E17" s="22">
        <f>+$C$15+$C$16*E16-15018.5-$C$9/24</f>
        <v>44886.738482337896</v>
      </c>
    </row>
    <row r="18" spans="1:5" ht="14.25" thickBot="1" thickTop="1">
      <c r="A18" s="20" t="s">
        <v>5</v>
      </c>
      <c r="B18" s="14"/>
      <c r="C18" s="23">
        <f>+C15</f>
        <v>57144.859810586524</v>
      </c>
      <c r="D18" s="24">
        <f>+C16</f>
        <v>0.9673967186884118</v>
      </c>
      <c r="E18" s="25" t="s">
        <v>46</v>
      </c>
    </row>
    <row r="19" spans="1:5" ht="13.5" thickTop="1">
      <c r="A19" s="32" t="s">
        <v>47</v>
      </c>
      <c r="E19" s="33">
        <v>22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31</v>
      </c>
      <c r="J20" s="7" t="s">
        <v>32</v>
      </c>
      <c r="K20" s="7" t="s">
        <v>39</v>
      </c>
      <c r="L20" s="7" t="s">
        <v>49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U20" s="34" t="s">
        <v>50</v>
      </c>
    </row>
    <row r="21" spans="1:17" ht="12.75">
      <c r="A21" t="s">
        <v>12</v>
      </c>
      <c r="C21" s="12">
        <v>36805.3431</v>
      </c>
      <c r="D21" s="12" t="s">
        <v>14</v>
      </c>
      <c r="E21">
        <f aca="true" t="shared" si="0" ref="E21:E31">+(C21-C$7)/C$8</f>
        <v>0</v>
      </c>
      <c r="F21">
        <f aca="true" t="shared" si="1" ref="F21:F31">ROUND(2*E21,0)/2</f>
        <v>0</v>
      </c>
      <c r="H21" s="29">
        <v>0</v>
      </c>
      <c r="O21">
        <f aca="true" t="shared" si="2" ref="O21:O31">+C$11+C$12*F21</f>
        <v>0.0007001626685108559</v>
      </c>
      <c r="Q21" s="1">
        <f aca="true" t="shared" si="3" ref="Q21:Q31">+C21-15018.5</f>
        <v>21786.8431</v>
      </c>
    </row>
    <row r="22" spans="1:31" ht="12.75">
      <c r="A22" s="35" t="s">
        <v>28</v>
      </c>
      <c r="B22" s="35" t="s">
        <v>30</v>
      </c>
      <c r="C22" s="28">
        <v>50320.362</v>
      </c>
      <c r="D22" s="28">
        <v>0.002</v>
      </c>
      <c r="E22">
        <f t="shared" si="0"/>
        <v>13970.496193290619</v>
      </c>
      <c r="F22">
        <f t="shared" si="1"/>
        <v>13970.5</v>
      </c>
      <c r="G22">
        <f>+C22-(C$7+F22*C$8)</f>
        <v>-0.003682599992316682</v>
      </c>
      <c r="I22">
        <f>+G22</f>
        <v>-0.003682599992316682</v>
      </c>
      <c r="O22">
        <f t="shared" si="2"/>
        <v>-0.006024000873514778</v>
      </c>
      <c r="Q22" s="1">
        <f t="shared" si="3"/>
        <v>35301.862</v>
      </c>
      <c r="AA22">
        <v>8</v>
      </c>
      <c r="AC22" t="s">
        <v>27</v>
      </c>
      <c r="AE22" t="s">
        <v>29</v>
      </c>
    </row>
    <row r="23" spans="1:17" ht="12.75">
      <c r="A23" s="62" t="s">
        <v>77</v>
      </c>
      <c r="B23" s="64" t="s">
        <v>30</v>
      </c>
      <c r="C23" s="63">
        <v>51327.418</v>
      </c>
      <c r="D23" s="10"/>
      <c r="E23">
        <f t="shared" si="0"/>
        <v>15011.491556932355</v>
      </c>
      <c r="F23">
        <f t="shared" si="1"/>
        <v>15011.5</v>
      </c>
      <c r="G23">
        <f>+C23-(C$7+F23*C$8)</f>
        <v>-0.008167799998773262</v>
      </c>
      <c r="M23">
        <f>G23</f>
        <v>-0.008167799998773262</v>
      </c>
      <c r="O23">
        <f t="shared" si="2"/>
        <v>-0.0065250462367622405</v>
      </c>
      <c r="Q23" s="1">
        <f t="shared" si="3"/>
        <v>36308.918</v>
      </c>
    </row>
    <row r="24" spans="1:17" ht="12.75">
      <c r="A24" s="36" t="s">
        <v>48</v>
      </c>
      <c r="B24" s="37" t="s">
        <v>34</v>
      </c>
      <c r="C24" s="36">
        <v>51698.41678</v>
      </c>
      <c r="D24" s="36">
        <v>0.0022</v>
      </c>
      <c r="E24">
        <f t="shared" si="0"/>
        <v>15394.993576578474</v>
      </c>
      <c r="F24">
        <f t="shared" si="1"/>
        <v>15395</v>
      </c>
      <c r="G24">
        <f>+C24-(C$7+F24*C$8)</f>
        <v>-0.006213999993633479</v>
      </c>
      <c r="L24">
        <f>G24</f>
        <v>-0.006213999993633479</v>
      </c>
      <c r="O24">
        <f t="shared" si="2"/>
        <v>-0.006709629230811618</v>
      </c>
      <c r="Q24" s="1">
        <f t="shared" si="3"/>
        <v>36679.91678</v>
      </c>
    </row>
    <row r="25" spans="1:17" ht="12.75">
      <c r="A25" s="62" t="s">
        <v>87</v>
      </c>
      <c r="B25" s="64" t="s">
        <v>34</v>
      </c>
      <c r="C25" s="63">
        <v>52082.472</v>
      </c>
      <c r="D25" s="10"/>
      <c r="E25">
        <f t="shared" si="0"/>
        <v>15791.992058691098</v>
      </c>
      <c r="F25">
        <f t="shared" si="1"/>
        <v>15792</v>
      </c>
      <c r="G25">
        <f>+C25-(C$7+F25*C$8)</f>
        <v>-0.0076823999916086905</v>
      </c>
      <c r="M25">
        <f>G25</f>
        <v>-0.0076823999916086905</v>
      </c>
      <c r="O25">
        <f t="shared" si="2"/>
        <v>-0.006900709931300804</v>
      </c>
      <c r="Q25" s="1">
        <f t="shared" si="3"/>
        <v>37063.972</v>
      </c>
    </row>
    <row r="26" spans="1:21" ht="12.75">
      <c r="A26" s="38" t="s">
        <v>33</v>
      </c>
      <c r="B26" s="39" t="s">
        <v>34</v>
      </c>
      <c r="C26" s="40">
        <v>52141.4879</v>
      </c>
      <c r="D26" s="40">
        <v>0.0067</v>
      </c>
      <c r="E26">
        <f t="shared" si="0"/>
        <v>15852.996886904368</v>
      </c>
      <c r="F26">
        <f t="shared" si="1"/>
        <v>15853</v>
      </c>
      <c r="O26">
        <f t="shared" si="2"/>
        <v>-0.006930069938176977</v>
      </c>
      <c r="Q26" s="1">
        <f t="shared" si="3"/>
        <v>37122.9879</v>
      </c>
      <c r="U26" s="29">
        <v>-0.0030115999979898334</v>
      </c>
    </row>
    <row r="27" spans="1:17" ht="12.75">
      <c r="A27" s="41" t="s">
        <v>35</v>
      </c>
      <c r="B27" s="35"/>
      <c r="C27" s="28">
        <v>53138.868</v>
      </c>
      <c r="D27" s="28">
        <v>0.001</v>
      </c>
      <c r="E27">
        <f t="shared" si="0"/>
        <v>16883.99025756949</v>
      </c>
      <c r="F27">
        <f t="shared" si="1"/>
        <v>16884</v>
      </c>
      <c r="G27">
        <f>+C27-(C$7+F27*C$8)</f>
        <v>-0.009424799995031208</v>
      </c>
      <c r="J27">
        <f>G27</f>
        <v>-0.009424799995031208</v>
      </c>
      <c r="O27">
        <f t="shared" si="2"/>
        <v>-0.0074263021855431</v>
      </c>
      <c r="Q27" s="1">
        <f t="shared" si="3"/>
        <v>38120.368</v>
      </c>
    </row>
    <row r="28" spans="1:21" ht="12.75">
      <c r="A28" s="26" t="s">
        <v>38</v>
      </c>
      <c r="B28" s="27" t="s">
        <v>34</v>
      </c>
      <c r="C28" s="28">
        <v>53895.374</v>
      </c>
      <c r="D28" s="28">
        <v>0.005</v>
      </c>
      <c r="E28">
        <f t="shared" si="0"/>
        <v>17665.991694001186</v>
      </c>
      <c r="F28">
        <f t="shared" si="1"/>
        <v>17666</v>
      </c>
      <c r="G28">
        <f>+C28-(C$7+F28*C$8)</f>
        <v>-0.008035199993173592</v>
      </c>
      <c r="K28">
        <f>G28</f>
        <v>-0.008035199993173592</v>
      </c>
      <c r="O28">
        <f t="shared" si="2"/>
        <v>-0.007802687847463865</v>
      </c>
      <c r="Q28" s="1">
        <f t="shared" si="3"/>
        <v>38876.874</v>
      </c>
      <c r="U28" s="29"/>
    </row>
    <row r="29" spans="1:17" ht="12.75">
      <c r="A29" s="42" t="s">
        <v>53</v>
      </c>
      <c r="B29" s="43" t="s">
        <v>34</v>
      </c>
      <c r="C29" s="42">
        <v>54959.5119</v>
      </c>
      <c r="D29" s="42">
        <v>0.0004</v>
      </c>
      <c r="E29">
        <f t="shared" si="0"/>
        <v>18765.992707028716</v>
      </c>
      <c r="F29">
        <f t="shared" si="1"/>
        <v>18766</v>
      </c>
      <c r="G29">
        <f>+C29-(C$7+F29*C$8)</f>
        <v>-0.007055199996102601</v>
      </c>
      <c r="K29">
        <f>G29</f>
        <v>-0.007055199996102601</v>
      </c>
      <c r="O29">
        <f t="shared" si="2"/>
        <v>-0.008332130594411232</v>
      </c>
      <c r="Q29" s="1">
        <f t="shared" si="3"/>
        <v>39941.0119</v>
      </c>
    </row>
    <row r="30" spans="1:17" ht="12.75">
      <c r="A30" s="44" t="s">
        <v>54</v>
      </c>
      <c r="B30" s="45" t="s">
        <v>30</v>
      </c>
      <c r="C30" s="46">
        <v>56072.5013</v>
      </c>
      <c r="D30" s="46">
        <v>0.0024</v>
      </c>
      <c r="E30">
        <f t="shared" si="0"/>
        <v>19916.491592078215</v>
      </c>
      <c r="F30">
        <f t="shared" si="1"/>
        <v>19916.5</v>
      </c>
      <c r="G30">
        <f>+C30-(C$7+F30*C$8)</f>
        <v>-0.008133799994539004</v>
      </c>
      <c r="K30">
        <f>G30</f>
        <v>-0.008133799994539004</v>
      </c>
      <c r="O30">
        <f t="shared" si="2"/>
        <v>-0.008885879576559366</v>
      </c>
      <c r="Q30" s="1">
        <f t="shared" si="3"/>
        <v>41054.0013</v>
      </c>
    </row>
    <row r="31" spans="1:17" ht="12.75">
      <c r="A31" s="47" t="s">
        <v>55</v>
      </c>
      <c r="B31" s="48"/>
      <c r="C31" s="47">
        <v>57144.8596</v>
      </c>
      <c r="D31" s="47">
        <v>0.0006</v>
      </c>
      <c r="E31">
        <f t="shared" si="0"/>
        <v>21024.99004545393</v>
      </c>
      <c r="F31">
        <f t="shared" si="1"/>
        <v>21025</v>
      </c>
      <c r="G31">
        <f>+C31-(C$7+F31*C$8)</f>
        <v>-0.00962999999319436</v>
      </c>
      <c r="M31">
        <f>G31</f>
        <v>-0.00962999999319436</v>
      </c>
      <c r="O31">
        <f t="shared" si="2"/>
        <v>-0.00941941347200587</v>
      </c>
      <c r="Q31" s="1">
        <f t="shared" si="3"/>
        <v>42126.3596</v>
      </c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9"/>
  <sheetViews>
    <sheetView zoomScalePageLayoutView="0" workbookViewId="0" topLeftCell="A1">
      <selection activeCell="A19" sqref="A19:C20"/>
    </sheetView>
  </sheetViews>
  <sheetFormatPr defaultColWidth="9.140625" defaultRowHeight="12.75"/>
  <cols>
    <col min="1" max="1" width="19.7109375" style="10" customWidth="1"/>
    <col min="2" max="2" width="4.421875" style="14" customWidth="1"/>
    <col min="3" max="3" width="12.7109375" style="10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10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9" t="s">
        <v>56</v>
      </c>
      <c r="I1" s="50" t="s">
        <v>57</v>
      </c>
      <c r="J1" s="51" t="s">
        <v>58</v>
      </c>
    </row>
    <row r="2" spans="9:10" ht="12.75">
      <c r="I2" s="52" t="s">
        <v>59</v>
      </c>
      <c r="J2" s="53" t="s">
        <v>60</v>
      </c>
    </row>
    <row r="3" spans="1:10" ht="12.75">
      <c r="A3" s="54" t="s">
        <v>61</v>
      </c>
      <c r="I3" s="52" t="s">
        <v>62</v>
      </c>
      <c r="J3" s="53" t="s">
        <v>63</v>
      </c>
    </row>
    <row r="4" spans="9:10" ht="12.75">
      <c r="I4" s="52" t="s">
        <v>64</v>
      </c>
      <c r="J4" s="53" t="s">
        <v>63</v>
      </c>
    </row>
    <row r="5" spans="9:10" ht="13.5" thickBot="1">
      <c r="I5" s="55" t="s">
        <v>65</v>
      </c>
      <c r="J5" s="56" t="s">
        <v>66</v>
      </c>
    </row>
    <row r="10" ht="13.5" thickBot="1"/>
    <row r="11" spans="1:16" ht="12.75" customHeight="1" thickBot="1">
      <c r="A11" s="10" t="str">
        <f aca="true" t="shared" si="0" ref="A11:A20">P11</f>
        <v> BBS 113 </v>
      </c>
      <c r="B11" s="16" t="str">
        <f aca="true" t="shared" si="1" ref="B11:B20">IF(H11=INT(H11),"I","II")</f>
        <v>II</v>
      </c>
      <c r="C11" s="10">
        <f aca="true" t="shared" si="2" ref="C11:C20">1*G11</f>
        <v>50320.362</v>
      </c>
      <c r="D11" s="14" t="str">
        <f aca="true" t="shared" si="3" ref="D11:D20">VLOOKUP(F11,I$1:J$5,2,FALSE)</f>
        <v>vis</v>
      </c>
      <c r="E11" s="57">
        <f>VLOOKUP(C11,A!C$21:E$973,3,FALSE)</f>
        <v>13970.496193290619</v>
      </c>
      <c r="F11" s="16" t="s">
        <v>65</v>
      </c>
      <c r="G11" s="14" t="str">
        <f aca="true" t="shared" si="4" ref="G11:G20">MID(I11,3,LEN(I11)-3)</f>
        <v>50320.362</v>
      </c>
      <c r="H11" s="10">
        <f aca="true" t="shared" si="5" ref="H11:H20">1*K11</f>
        <v>13970.5</v>
      </c>
      <c r="I11" s="58" t="s">
        <v>67</v>
      </c>
      <c r="J11" s="59" t="s">
        <v>68</v>
      </c>
      <c r="K11" s="58">
        <v>13970.5</v>
      </c>
      <c r="L11" s="58" t="s">
        <v>69</v>
      </c>
      <c r="M11" s="59" t="s">
        <v>70</v>
      </c>
      <c r="N11" s="59" t="s">
        <v>71</v>
      </c>
      <c r="O11" s="60" t="s">
        <v>72</v>
      </c>
      <c r="P11" s="60" t="s">
        <v>73</v>
      </c>
    </row>
    <row r="12" spans="1:16" ht="12.75" customHeight="1" thickBot="1">
      <c r="A12" s="10" t="str">
        <f t="shared" si="0"/>
        <v>BAVM 241 (=IBVS 6157) </v>
      </c>
      <c r="B12" s="16" t="str">
        <f t="shared" si="1"/>
        <v>I</v>
      </c>
      <c r="C12" s="10">
        <f t="shared" si="2"/>
        <v>57144.8596</v>
      </c>
      <c r="D12" s="14" t="str">
        <f t="shared" si="3"/>
        <v>vis</v>
      </c>
      <c r="E12" s="57">
        <f>VLOOKUP(C12,A!C$21:E$973,3,FALSE)</f>
        <v>21024.99004545393</v>
      </c>
      <c r="F12" s="16" t="s">
        <v>65</v>
      </c>
      <c r="G12" s="14" t="str">
        <f t="shared" si="4"/>
        <v>57144.8596</v>
      </c>
      <c r="H12" s="10">
        <f t="shared" si="5"/>
        <v>21025</v>
      </c>
      <c r="I12" s="58" t="s">
        <v>113</v>
      </c>
      <c r="J12" s="59" t="s">
        <v>114</v>
      </c>
      <c r="K12" s="58" t="s">
        <v>115</v>
      </c>
      <c r="L12" s="58" t="s">
        <v>116</v>
      </c>
      <c r="M12" s="59" t="s">
        <v>81</v>
      </c>
      <c r="N12" s="59" t="s">
        <v>65</v>
      </c>
      <c r="O12" s="60" t="s">
        <v>117</v>
      </c>
      <c r="P12" s="61" t="s">
        <v>118</v>
      </c>
    </row>
    <row r="13" spans="1:16" ht="12.75" customHeight="1" thickBot="1">
      <c r="A13" s="10" t="str">
        <f t="shared" si="0"/>
        <v>OEJV 0074 </v>
      </c>
      <c r="B13" s="16" t="str">
        <f t="shared" si="1"/>
        <v>I</v>
      </c>
      <c r="C13" s="10">
        <f t="shared" si="2"/>
        <v>51698.41678</v>
      </c>
      <c r="D13" s="14" t="str">
        <f t="shared" si="3"/>
        <v>vis</v>
      </c>
      <c r="E13" s="57">
        <f>VLOOKUP(C13,A!C$21:E$973,3,FALSE)</f>
        <v>15394.993576578474</v>
      </c>
      <c r="F13" s="16" t="s">
        <v>65</v>
      </c>
      <c r="G13" s="14" t="str">
        <f t="shared" si="4"/>
        <v>51698.41678</v>
      </c>
      <c r="H13" s="10">
        <f t="shared" si="5"/>
        <v>15395</v>
      </c>
      <c r="I13" s="58" t="s">
        <v>78</v>
      </c>
      <c r="J13" s="59" t="s">
        <v>79</v>
      </c>
      <c r="K13" s="58">
        <v>15395</v>
      </c>
      <c r="L13" s="58" t="s">
        <v>80</v>
      </c>
      <c r="M13" s="59" t="s">
        <v>81</v>
      </c>
      <c r="N13" s="59" t="s">
        <v>82</v>
      </c>
      <c r="O13" s="60" t="s">
        <v>83</v>
      </c>
      <c r="P13" s="61" t="s">
        <v>84</v>
      </c>
    </row>
    <row r="14" spans="1:16" ht="12.75" customHeight="1" thickBot="1">
      <c r="A14" s="10" t="str">
        <f t="shared" si="0"/>
        <v>IBVS 5583 </v>
      </c>
      <c r="B14" s="16" t="str">
        <f t="shared" si="1"/>
        <v>I</v>
      </c>
      <c r="C14" s="10">
        <f t="shared" si="2"/>
        <v>52141.4879</v>
      </c>
      <c r="D14" s="14" t="str">
        <f t="shared" si="3"/>
        <v>vis</v>
      </c>
      <c r="E14" s="57">
        <f>VLOOKUP(C14,A!C$21:E$973,3,FALSE)</f>
        <v>15852.996886904368</v>
      </c>
      <c r="F14" s="16" t="s">
        <v>65</v>
      </c>
      <c r="G14" s="14" t="str">
        <f t="shared" si="4"/>
        <v>52141.4879</v>
      </c>
      <c r="H14" s="10">
        <f t="shared" si="5"/>
        <v>15853</v>
      </c>
      <c r="I14" s="58" t="s">
        <v>88</v>
      </c>
      <c r="J14" s="59" t="s">
        <v>89</v>
      </c>
      <c r="K14" s="58">
        <v>15853</v>
      </c>
      <c r="L14" s="58" t="s">
        <v>90</v>
      </c>
      <c r="M14" s="59" t="s">
        <v>70</v>
      </c>
      <c r="N14" s="59" t="s">
        <v>71</v>
      </c>
      <c r="O14" s="60" t="s">
        <v>91</v>
      </c>
      <c r="P14" s="61" t="s">
        <v>92</v>
      </c>
    </row>
    <row r="15" spans="1:16" ht="12.75" customHeight="1" thickBot="1">
      <c r="A15" s="10" t="str">
        <f t="shared" si="0"/>
        <v>IBVS 5602 </v>
      </c>
      <c r="B15" s="16" t="str">
        <f t="shared" si="1"/>
        <v>I</v>
      </c>
      <c r="C15" s="10">
        <f t="shared" si="2"/>
        <v>53138.868</v>
      </c>
      <c r="D15" s="14" t="str">
        <f t="shared" si="3"/>
        <v>vis</v>
      </c>
      <c r="E15" s="57">
        <f>VLOOKUP(C15,A!C$21:E$973,3,FALSE)</f>
        <v>16883.99025756949</v>
      </c>
      <c r="F15" s="16" t="s">
        <v>65</v>
      </c>
      <c r="G15" s="14" t="str">
        <f t="shared" si="4"/>
        <v>53138.868</v>
      </c>
      <c r="H15" s="10">
        <f t="shared" si="5"/>
        <v>16884</v>
      </c>
      <c r="I15" s="58" t="s">
        <v>93</v>
      </c>
      <c r="J15" s="59" t="s">
        <v>94</v>
      </c>
      <c r="K15" s="58">
        <v>16884</v>
      </c>
      <c r="L15" s="58" t="s">
        <v>95</v>
      </c>
      <c r="M15" s="59" t="s">
        <v>70</v>
      </c>
      <c r="N15" s="59" t="s">
        <v>71</v>
      </c>
      <c r="O15" s="60" t="s">
        <v>96</v>
      </c>
      <c r="P15" s="61" t="s">
        <v>97</v>
      </c>
    </row>
    <row r="16" spans="1:16" ht="12.75" customHeight="1" thickBot="1">
      <c r="A16" s="10" t="str">
        <f t="shared" si="0"/>
        <v>IBVS 5713 </v>
      </c>
      <c r="B16" s="16" t="str">
        <f t="shared" si="1"/>
        <v>I</v>
      </c>
      <c r="C16" s="10">
        <f t="shared" si="2"/>
        <v>53895.374</v>
      </c>
      <c r="D16" s="14" t="str">
        <f t="shared" si="3"/>
        <v>vis</v>
      </c>
      <c r="E16" s="57">
        <f>VLOOKUP(C16,A!C$21:E$973,3,FALSE)</f>
        <v>17665.991694001186</v>
      </c>
      <c r="F16" s="16" t="s">
        <v>65</v>
      </c>
      <c r="G16" s="14" t="str">
        <f t="shared" si="4"/>
        <v>53895.374</v>
      </c>
      <c r="H16" s="10">
        <f t="shared" si="5"/>
        <v>17666</v>
      </c>
      <c r="I16" s="58" t="s">
        <v>98</v>
      </c>
      <c r="J16" s="59" t="s">
        <v>99</v>
      </c>
      <c r="K16" s="58">
        <v>17666</v>
      </c>
      <c r="L16" s="58" t="s">
        <v>76</v>
      </c>
      <c r="M16" s="59" t="s">
        <v>70</v>
      </c>
      <c r="N16" s="59" t="s">
        <v>71</v>
      </c>
      <c r="O16" s="60" t="s">
        <v>100</v>
      </c>
      <c r="P16" s="61" t="s">
        <v>101</v>
      </c>
    </row>
    <row r="17" spans="1:16" ht="12.75" customHeight="1" thickBot="1">
      <c r="A17" s="10" t="str">
        <f t="shared" si="0"/>
        <v>BAVM 209 </v>
      </c>
      <c r="B17" s="16" t="str">
        <f t="shared" si="1"/>
        <v>I</v>
      </c>
      <c r="C17" s="10">
        <f t="shared" si="2"/>
        <v>54959.5119</v>
      </c>
      <c r="D17" s="14" t="str">
        <f t="shared" si="3"/>
        <v>vis</v>
      </c>
      <c r="E17" s="57">
        <f>VLOOKUP(C17,A!C$21:E$973,3,FALSE)</f>
        <v>18765.992707028716</v>
      </c>
      <c r="F17" s="16" t="s">
        <v>65</v>
      </c>
      <c r="G17" s="14" t="str">
        <f t="shared" si="4"/>
        <v>54959.5119</v>
      </c>
      <c r="H17" s="10">
        <f t="shared" si="5"/>
        <v>18766</v>
      </c>
      <c r="I17" s="58" t="s">
        <v>102</v>
      </c>
      <c r="J17" s="59" t="s">
        <v>103</v>
      </c>
      <c r="K17" s="58">
        <v>18766</v>
      </c>
      <c r="L17" s="58" t="s">
        <v>104</v>
      </c>
      <c r="M17" s="59" t="s">
        <v>81</v>
      </c>
      <c r="N17" s="59" t="s">
        <v>105</v>
      </c>
      <c r="O17" s="60" t="s">
        <v>106</v>
      </c>
      <c r="P17" s="61" t="s">
        <v>107</v>
      </c>
    </row>
    <row r="18" spans="1:16" ht="12.75" customHeight="1" thickBot="1">
      <c r="A18" s="10" t="str">
        <f t="shared" si="0"/>
        <v>BAVM 231 </v>
      </c>
      <c r="B18" s="16" t="str">
        <f t="shared" si="1"/>
        <v>II</v>
      </c>
      <c r="C18" s="10">
        <f t="shared" si="2"/>
        <v>56072.5013</v>
      </c>
      <c r="D18" s="14" t="str">
        <f t="shared" si="3"/>
        <v>vis</v>
      </c>
      <c r="E18" s="57">
        <f>VLOOKUP(C18,A!C$21:E$973,3,FALSE)</f>
        <v>19916.491592078215</v>
      </c>
      <c r="F18" s="16" t="s">
        <v>65</v>
      </c>
      <c r="G18" s="14" t="str">
        <f t="shared" si="4"/>
        <v>56072.5013</v>
      </c>
      <c r="H18" s="10">
        <f t="shared" si="5"/>
        <v>19916.5</v>
      </c>
      <c r="I18" s="58" t="s">
        <v>108</v>
      </c>
      <c r="J18" s="59" t="s">
        <v>109</v>
      </c>
      <c r="K18" s="58" t="s">
        <v>110</v>
      </c>
      <c r="L18" s="58" t="s">
        <v>111</v>
      </c>
      <c r="M18" s="59" t="s">
        <v>81</v>
      </c>
      <c r="N18" s="59" t="s">
        <v>105</v>
      </c>
      <c r="O18" s="60" t="s">
        <v>106</v>
      </c>
      <c r="P18" s="61" t="s">
        <v>112</v>
      </c>
    </row>
    <row r="19" spans="1:16" ht="12.75" customHeight="1" thickBot="1">
      <c r="A19" s="10" t="str">
        <f t="shared" si="0"/>
        <v> BBS 120 </v>
      </c>
      <c r="B19" s="16" t="str">
        <f t="shared" si="1"/>
        <v>II</v>
      </c>
      <c r="C19" s="10">
        <f t="shared" si="2"/>
        <v>51327.418</v>
      </c>
      <c r="D19" s="14" t="str">
        <f t="shared" si="3"/>
        <v>vis</v>
      </c>
      <c r="E19" s="57">
        <f>VLOOKUP(C19,A!C$21:E$973,3,FALSE)</f>
        <v>15011.491556932355</v>
      </c>
      <c r="F19" s="16" t="s">
        <v>65</v>
      </c>
      <c r="G19" s="14" t="str">
        <f t="shared" si="4"/>
        <v>51327.418</v>
      </c>
      <c r="H19" s="10">
        <f t="shared" si="5"/>
        <v>15011.5</v>
      </c>
      <c r="I19" s="58" t="s">
        <v>74</v>
      </c>
      <c r="J19" s="59" t="s">
        <v>75</v>
      </c>
      <c r="K19" s="58">
        <v>15011.5</v>
      </c>
      <c r="L19" s="58" t="s">
        <v>76</v>
      </c>
      <c r="M19" s="59" t="s">
        <v>70</v>
      </c>
      <c r="N19" s="59" t="s">
        <v>71</v>
      </c>
      <c r="O19" s="60" t="s">
        <v>72</v>
      </c>
      <c r="P19" s="60" t="s">
        <v>77</v>
      </c>
    </row>
    <row r="20" spans="1:16" ht="12.75" customHeight="1" thickBot="1">
      <c r="A20" s="10" t="str">
        <f t="shared" si="0"/>
        <v> BBS 125 </v>
      </c>
      <c r="B20" s="16" t="str">
        <f t="shared" si="1"/>
        <v>I</v>
      </c>
      <c r="C20" s="10">
        <f t="shared" si="2"/>
        <v>52082.472</v>
      </c>
      <c r="D20" s="14" t="str">
        <f t="shared" si="3"/>
        <v>vis</v>
      </c>
      <c r="E20" s="57">
        <f>VLOOKUP(C20,A!C$21:E$973,3,FALSE)</f>
        <v>15791.992058691098</v>
      </c>
      <c r="F20" s="16" t="s">
        <v>65</v>
      </c>
      <c r="G20" s="14" t="str">
        <f t="shared" si="4"/>
        <v>52082.472</v>
      </c>
      <c r="H20" s="10">
        <f t="shared" si="5"/>
        <v>15792</v>
      </c>
      <c r="I20" s="58" t="s">
        <v>85</v>
      </c>
      <c r="J20" s="59" t="s">
        <v>86</v>
      </c>
      <c r="K20" s="58">
        <v>15792</v>
      </c>
      <c r="L20" s="58" t="s">
        <v>76</v>
      </c>
      <c r="M20" s="59" t="s">
        <v>70</v>
      </c>
      <c r="N20" s="59" t="s">
        <v>71</v>
      </c>
      <c r="O20" s="60" t="s">
        <v>72</v>
      </c>
      <c r="P20" s="60" t="s">
        <v>87</v>
      </c>
    </row>
    <row r="21" spans="2:6" ht="12.75">
      <c r="B21" s="16"/>
      <c r="E21" s="57"/>
      <c r="F21" s="16"/>
    </row>
    <row r="22" spans="2:6" ht="12.75">
      <c r="B22" s="16"/>
      <c r="E22" s="57"/>
      <c r="F22" s="16"/>
    </row>
    <row r="23" spans="2:6" ht="12.75">
      <c r="B23" s="16"/>
      <c r="E23" s="57"/>
      <c r="F23" s="16"/>
    </row>
    <row r="24" spans="2:6" ht="12.75">
      <c r="B24" s="16"/>
      <c r="E24" s="57"/>
      <c r="F24" s="16"/>
    </row>
    <row r="25" spans="2:6" ht="12.75">
      <c r="B25" s="16"/>
      <c r="E25" s="57"/>
      <c r="F25" s="16"/>
    </row>
    <row r="26" spans="2:6" ht="12.75">
      <c r="B26" s="16"/>
      <c r="E26" s="57"/>
      <c r="F26" s="16"/>
    </row>
    <row r="27" spans="2:6" ht="12.75">
      <c r="B27" s="16"/>
      <c r="E27" s="57"/>
      <c r="F27" s="16"/>
    </row>
    <row r="28" spans="2:6" ht="12.75">
      <c r="B28" s="16"/>
      <c r="E28" s="57"/>
      <c r="F28" s="16"/>
    </row>
    <row r="29" spans="2:6" ht="12.75">
      <c r="B29" s="16"/>
      <c r="E29" s="57"/>
      <c r="F29" s="16"/>
    </row>
    <row r="30" spans="2:6" ht="12.75">
      <c r="B30" s="16"/>
      <c r="E30" s="57"/>
      <c r="F30" s="16"/>
    </row>
    <row r="31" spans="2:6" ht="12.75">
      <c r="B31" s="16"/>
      <c r="E31" s="57"/>
      <c r="F31" s="16"/>
    </row>
    <row r="32" spans="2:6" ht="12.75">
      <c r="B32" s="16"/>
      <c r="F32" s="16"/>
    </row>
    <row r="33" spans="2:6" ht="12.75">
      <c r="B33" s="16"/>
      <c r="F33" s="16"/>
    </row>
    <row r="34" spans="2:6" ht="12.75">
      <c r="B34" s="16"/>
      <c r="F34" s="16"/>
    </row>
    <row r="35" spans="2:6" ht="12.75">
      <c r="B35" s="16"/>
      <c r="F35" s="16"/>
    </row>
    <row r="36" spans="2:6" ht="12.75">
      <c r="B36" s="16"/>
      <c r="F36" s="16"/>
    </row>
    <row r="37" spans="2:6" ht="12.75">
      <c r="B37" s="16"/>
      <c r="F37" s="16"/>
    </row>
    <row r="38" spans="2:6" ht="12.75">
      <c r="B38" s="16"/>
      <c r="F38" s="16"/>
    </row>
    <row r="39" spans="2:6" ht="12.75">
      <c r="B39" s="16"/>
      <c r="F39" s="16"/>
    </row>
    <row r="40" spans="2:6" ht="12.75">
      <c r="B40" s="16"/>
      <c r="F40" s="16"/>
    </row>
    <row r="41" spans="2:6" ht="12.75">
      <c r="B41" s="16"/>
      <c r="F41" s="16"/>
    </row>
    <row r="42" spans="2:6" ht="12.75">
      <c r="B42" s="16"/>
      <c r="F42" s="16"/>
    </row>
    <row r="43" spans="2:6" ht="12.75">
      <c r="B43" s="16"/>
      <c r="F43" s="16"/>
    </row>
    <row r="44" spans="2:6" ht="12.75">
      <c r="B44" s="16"/>
      <c r="F44" s="16"/>
    </row>
    <row r="45" spans="2:6" ht="12.75">
      <c r="B45" s="16"/>
      <c r="F45" s="16"/>
    </row>
    <row r="46" spans="2:6" ht="12.75">
      <c r="B46" s="16"/>
      <c r="F46" s="16"/>
    </row>
    <row r="47" spans="2:6" ht="12.75">
      <c r="B47" s="16"/>
      <c r="F47" s="16"/>
    </row>
    <row r="48" spans="2:6" ht="12.75">
      <c r="B48" s="16"/>
      <c r="F48" s="16"/>
    </row>
    <row r="49" spans="2:6" ht="12.75">
      <c r="B49" s="16"/>
      <c r="F49" s="16"/>
    </row>
    <row r="50" spans="2:6" ht="12.75">
      <c r="B50" s="16"/>
      <c r="F50" s="16"/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  <row r="817" spans="2:6" ht="12.75">
      <c r="B817" s="16"/>
      <c r="F817" s="16"/>
    </row>
    <row r="818" spans="2:6" ht="12.75">
      <c r="B818" s="16"/>
      <c r="F818" s="16"/>
    </row>
    <row r="819" spans="2:6" ht="12.75">
      <c r="B819" s="16"/>
      <c r="F819" s="16"/>
    </row>
  </sheetData>
  <sheetProtection/>
  <hyperlinks>
    <hyperlink ref="P13" r:id="rId1" display="http://var.astro.cz/oejv/issues/oejv0074.pdf"/>
    <hyperlink ref="P14" r:id="rId2" display="http://www.konkoly.hu/cgi-bin/IBVS?5583"/>
    <hyperlink ref="P15" r:id="rId3" display="http://www.konkoly.hu/cgi-bin/IBVS?5602"/>
    <hyperlink ref="P16" r:id="rId4" display="http://www.konkoly.hu/cgi-bin/IBVS?5713"/>
    <hyperlink ref="P17" r:id="rId5" display="http://www.bav-astro.de/sfs/BAVM_link.php?BAVMnr=209"/>
    <hyperlink ref="P18" r:id="rId6" display="http://www.bav-astro.de/sfs/BAVM_link.php?BAVMnr=231"/>
    <hyperlink ref="P12" r:id="rId7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