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65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<sst xmlns="http://schemas.openxmlformats.org/spreadsheetml/2006/main" count="210" uniqueCount="122">
  <si>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</si>
  <si>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</si>
  <si>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</si>
  <si>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</si>
  <si>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</si>
  <si>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</si>
  <si>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</si>
  <si>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</si>
  <si>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</si>
  <si>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</si>
  <si>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</si>
  <si>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</si>
  <si>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</si>
  <si>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</si>
  <si>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</si>
  <si>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</si>
  <si>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</si>
  <si>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</si>
  <si>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</si>
  <si>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</si>
  <si>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</si>
  <si>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</si>
  <si>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</si>
  <si>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</si>
  <si>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</si>
  <si>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</si>
  <si>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</si>
  <si>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</si>
  <si>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</si>
  <si>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</si>
  <si>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</si>
  <si>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</si>
  <si>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</si>
  <si>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</si>
  <si>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</si>
  <si>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</si>
  <si>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</si>
  <si>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</si>
  <si>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AV Mon</t>
  </si>
  <si>
    <t>AV Mon / GSC 4825-2279</t>
  </si>
  <si>
    <t>EA/SD:</t>
  </si>
  <si>
    <t>Kreiner</t>
  </si>
  <si>
    <t>2013JAVSO..41..122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</si>
  <si>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</si>
  <si>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</si>
  <si>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</si>
  <si>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</si>
  <si>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</si>
  <si>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</si>
  <si>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</si>
  <si>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</si>
  <si>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</si>
  <si>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</si>
  <si>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</si>
  <si>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2425590.59 </t>
  </si>
  <si>
    <t> 10.12.1928 02:09 </t>
  </si>
  <si>
    <t> -0.06 </t>
  </si>
  <si>
    <t>P </t>
  </si>
  <si>
    <t> H.Gessner </t>
  </si>
  <si>
    <t> MVS 685 </t>
  </si>
  <si>
    <t>2426625.63 </t>
  </si>
  <si>
    <t> 11.10.1931 03:07 </t>
  </si>
  <si>
    <t> -0.17 </t>
  </si>
  <si>
    <t>2426632.63 </t>
  </si>
  <si>
    <t> 18.10.1931 03:07 </t>
  </si>
  <si>
    <t> -0.12 </t>
  </si>
  <si>
    <t>2426653.600 </t>
  </si>
  <si>
    <t> 08.11.1931 02:24 </t>
  </si>
  <si>
    <t> 0.007 </t>
  </si>
  <si>
    <t>V </t>
  </si>
  <si>
    <t> J.Pagaczewski </t>
  </si>
  <si>
    <t> AA 27.154 </t>
  </si>
  <si>
    <t>2426709.17 </t>
  </si>
  <si>
    <t> 02.01.1932 16:04 </t>
  </si>
  <si>
    <t> -0.00 </t>
  </si>
  <si>
    <t> N.Florja </t>
  </si>
  <si>
    <t> PSMO 8.2.52 </t>
  </si>
  <si>
    <t>2427042.65 </t>
  </si>
  <si>
    <t> 01.12.1932 03:36 </t>
  </si>
  <si>
    <t> 0.01 </t>
  </si>
  <si>
    <t>2427862.44 </t>
  </si>
  <si>
    <t> 28.02.1935 22:33 </t>
  </si>
  <si>
    <t>2428494.63 </t>
  </si>
  <si>
    <t> 22.11.1936 03:07 </t>
  </si>
  <si>
    <t> -0.01 </t>
  </si>
  <si>
    <t>2430321.61 </t>
  </si>
  <si>
    <t> 23.11.1941 02:38 </t>
  </si>
  <si>
    <t> -0.19 </t>
  </si>
  <si>
    <t>2430377.44 </t>
  </si>
  <si>
    <t> 17.01.1942 22:33 </t>
  </si>
  <si>
    <t> 0.07 </t>
  </si>
  <si>
    <t>2430731.52 </t>
  </si>
  <si>
    <t> 07.01.1943 00:28 </t>
  </si>
  <si>
    <t>2432260.108 </t>
  </si>
  <si>
    <t> 15.03.1947 14:35 </t>
  </si>
  <si>
    <t> 0.001 </t>
  </si>
  <si>
    <t> A.Soloviev </t>
  </si>
  <si>
    <t> PZ 12.274 </t>
  </si>
  <si>
    <t>2432274.002 </t>
  </si>
  <si>
    <t> 29.03.1947 12:02 </t>
  </si>
  <si>
    <t> 0.000 </t>
  </si>
  <si>
    <t> AC 64.3 </t>
  </si>
  <si>
    <t>2451587.559 </t>
  </si>
  <si>
    <t> 13.02.2000 01:24 </t>
  </si>
  <si>
    <t> -0.084 </t>
  </si>
  <si>
    <t> S.Cook </t>
  </si>
  <si>
    <t> JAAVSO 41;122 </t>
  </si>
  <si>
    <t>2452997.833 </t>
  </si>
  <si>
    <t> 24.12.2003 07:59 </t>
  </si>
  <si>
    <t> -0.123 </t>
  </si>
  <si>
    <t> R.Meyer </t>
  </si>
  <si>
    <t>BAVM 171 </t>
  </si>
  <si>
    <t>2455207.0515 </t>
  </si>
  <si>
    <t> 10.01.2010 13:14 </t>
  </si>
  <si>
    <t> -0.1625 </t>
  </si>
  <si>
    <t>C </t>
  </si>
  <si>
    <t>Rc</t>
  </si>
  <si>
    <t> K.Shiokawa </t>
  </si>
  <si>
    <t>VSB 51 </t>
  </si>
  <si>
    <t>I</t>
  </si>
  <si>
    <t>VSB 060</t>
  </si>
  <si>
    <t>G4825-2279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</si>
</sst>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>
      <alignment/>
      <protection/>
    </xf>
    <xf numFmtId="0" fontId="17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6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1" fillId="0" borderId="0" xfId="60" applyFont="1">
      <alignment/>
      <protection/>
    </xf>
    <xf numFmtId="0" fontId="31" fillId="0" borderId="0" xfId="60" applyFont="1" applyAlignment="1">
      <alignment horizontal="center"/>
      <protection/>
    </xf>
    <xf numFmtId="0" fontId="31" fillId="0" borderId="0" xfId="60" applyFont="1" applyAlignment="1">
      <alignment horizontal="left"/>
      <protection/>
    </xf>
    <xf numFmtId="0" fontId="17" fillId="0" borderId="0" xfId="60" applyAlignment="1">
      <alignment horizontal="left"/>
      <protection/>
    </xf>
    <xf numFmtId="0" fontId="13" fillId="0" borderId="0" xfId="60" applyFont="1" applyAlignment="1">
      <alignment horizontal="left"/>
      <protection/>
    </xf>
    <xf numFmtId="0" fontId="13" fillId="0" borderId="0" xfId="60" applyFont="1" applyAlignment="1">
      <alignment horizontal="center"/>
      <protection/>
    </xf>
    <xf numFmtId="0" fontId="16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A!$D$21:$D$230</c:f>
                <c:numCache>
                  <c:ptCount val="21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plus>
            <c:minus>
              <c:numRef>
                <c:f>A!$D$21:$D$230</c:f>
                <c:numCache>
                  <c:ptCount val="21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A!$U$21:$U$990</c:f>
              <c:numCache/>
            </c:numRef>
          </c:yVal>
          <c:smooth val="0"/>
        </c:ser>
        <c:axId val="24725661"/>
        <c:axId val="45955530"/>
      </c:scatterChart>
      <c:valAx>
        <c:axId val="2472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530"/>
        <c:crosses val="autoZero"/>
        <c:crossBetween val="midCat"/>
        <c:dispUnits/>
      </c:valAx>
      <c:valAx>
        <c:axId val="459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6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1" TargetMode="External" /><Relationship Id="rId2" Type="http://schemas.openxmlformats.org/officeDocument/2006/relationships/hyperlink" Target="http://vsolj.cetus-net.org/vsoljno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1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39</v>
      </c>
    </row>
    <row r="2" spans="1:6" ht="12.75">
      <c r="A2" t="s">
        <v>23</v>
      </c>
      <c r="B2" t="s">
        <v>40</v>
      </c>
      <c r="C2" s="3"/>
      <c r="D2" s="3"/>
      <c r="E2" s="10" t="s">
        <v>38</v>
      </c>
      <c r="F2" t="s">
        <v>121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52504.561</v>
      </c>
      <c r="D7" s="29" t="s">
        <v>41</v>
      </c>
    </row>
    <row r="8" spans="1:4" ht="12.75">
      <c r="A8" t="s">
        <v>3</v>
      </c>
      <c r="C8" s="8">
        <v>6.947317</v>
      </c>
      <c r="D8" s="29" t="s">
        <v>41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INTERCEPT(INDIRECT($D$9):G983,INDIRECT($C$9):F983)</f>
        <v>-0.0012404301920304096</v>
      </c>
      <c r="D11" s="3"/>
      <c r="E11" s="10"/>
    </row>
    <row r="12" spans="1:5" ht="12.75">
      <c r="A12" s="10" t="s">
        <v>16</v>
      </c>
      <c r="B12" s="10"/>
      <c r="C12" s="21">
        <f ca="1">SLOPE(INDIRECT($D$9):G983,INDIRECT($C$9):F983)</f>
        <v>1.13948263870766E-05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(C7+C11)+(C8+C12)*INT(MAX(F21:F3524))</f>
        <v>57062.007186575924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6.947328394826387</v>
      </c>
      <c r="E16" s="14" t="s">
        <v>30</v>
      </c>
      <c r="F16" s="15">
        <f ca="1">NOW()+15018.5+$C$5/24</f>
        <v>59903.7046724537</v>
      </c>
    </row>
    <row r="17" spans="1:6" ht="13.5" thickBot="1">
      <c r="A17" s="14" t="s">
        <v>27</v>
      </c>
      <c r="B17" s="10"/>
      <c r="C17" s="10">
        <f>COUNT(C21:C2182)</f>
        <v>19</v>
      </c>
      <c r="E17" s="14" t="s">
        <v>35</v>
      </c>
      <c r="F17" s="15">
        <f>ROUND(2*(F16-$C$7)/$C$8,0)/2+F15</f>
        <v>1066</v>
      </c>
    </row>
    <row r="18" spans="1:6" ht="14.25" thickBot="1" thickTop="1">
      <c r="A18" s="16" t="s">
        <v>5</v>
      </c>
      <c r="B18" s="10"/>
      <c r="C18" s="19">
        <f>+C15</f>
        <v>57062.007186575924</v>
      </c>
      <c r="D18" s="20">
        <f>+C16</f>
        <v>6.947328394826387</v>
      </c>
      <c r="E18" s="14" t="s">
        <v>36</v>
      </c>
      <c r="F18" s="23">
        <f>ROUND(2*(F16-$C$15)/$C$16,0)/2+F15</f>
        <v>410</v>
      </c>
    </row>
    <row r="19" spans="5:6" ht="13.5" thickTop="1">
      <c r="E19" s="14" t="s">
        <v>31</v>
      </c>
      <c r="F19" s="18">
        <f>+$C$15+$C$16*F18-15018.5-$C$5/24</f>
        <v>44892.30766178808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50</v>
      </c>
      <c r="I20" s="7" t="s">
        <v>53</v>
      </c>
      <c r="J20" s="7" t="s">
        <v>47</v>
      </c>
      <c r="K20" s="7" t="s">
        <v>45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46" t="s">
        <v>59</v>
      </c>
      <c r="B21" s="48" t="s">
        <v>119</v>
      </c>
      <c r="C21" s="47">
        <v>25590.59</v>
      </c>
      <c r="D21" s="8"/>
      <c r="E21">
        <f aca="true" t="shared" si="0" ref="E21:E37">+(C21-C$7)/C$8</f>
        <v>-3874.0093477813093</v>
      </c>
      <c r="F21">
        <f aca="true" t="shared" si="1" ref="F21:F37">ROUND(2*E21,0)/2</f>
        <v>-3874</v>
      </c>
      <c r="G21">
        <f aca="true" t="shared" si="2" ref="G21:G37">+C21-(C$7+F21*C$8)</f>
        <v>-0.06494200000088313</v>
      </c>
      <c r="I21">
        <f aca="true" t="shared" si="3" ref="I21:I34">+G21</f>
        <v>-0.06494200000088313</v>
      </c>
      <c r="O21">
        <f aca="true" t="shared" si="4" ref="O21:O37">+C$11+C$12*$F21</f>
        <v>-0.045383987615565155</v>
      </c>
      <c r="Q21" s="2">
        <f aca="true" t="shared" si="5" ref="Q21:Q37">+C21-15018.5</f>
        <v>10572.09</v>
      </c>
    </row>
    <row r="22" spans="1:17" ht="12.75">
      <c r="A22" s="46" t="s">
        <v>59</v>
      </c>
      <c r="B22" s="48" t="s">
        <v>119</v>
      </c>
      <c r="C22" s="47">
        <v>26625.63</v>
      </c>
      <c r="D22" s="8"/>
      <c r="E22">
        <f t="shared" si="0"/>
        <v>-3725.0252147699607</v>
      </c>
      <c r="F22">
        <f t="shared" si="1"/>
        <v>-3725</v>
      </c>
      <c r="G22">
        <f t="shared" si="2"/>
        <v>-0.1751750000003085</v>
      </c>
      <c r="I22">
        <f t="shared" si="3"/>
        <v>-0.1751750000003085</v>
      </c>
      <c r="O22">
        <f t="shared" si="4"/>
        <v>-0.04368615848389075</v>
      </c>
      <c r="Q22" s="2">
        <f t="shared" si="5"/>
        <v>11607.130000000001</v>
      </c>
    </row>
    <row r="23" spans="1:17" ht="12.75">
      <c r="A23" s="46" t="s">
        <v>59</v>
      </c>
      <c r="B23" s="48" t="s">
        <v>119</v>
      </c>
      <c r="C23" s="47">
        <v>26632.63</v>
      </c>
      <c r="D23" s="8"/>
      <c r="E23">
        <f t="shared" si="0"/>
        <v>-3724.017631554743</v>
      </c>
      <c r="F23">
        <f t="shared" si="1"/>
        <v>-3724</v>
      </c>
      <c r="G23">
        <f t="shared" si="2"/>
        <v>-0.12249200000223937</v>
      </c>
      <c r="I23">
        <f t="shared" si="3"/>
        <v>-0.12249200000223937</v>
      </c>
      <c r="O23">
        <f t="shared" si="4"/>
        <v>-0.04367476365750367</v>
      </c>
      <c r="Q23" s="2">
        <f t="shared" si="5"/>
        <v>11614.130000000001</v>
      </c>
    </row>
    <row r="24" spans="1:17" ht="12.75">
      <c r="A24" s="46" t="s">
        <v>71</v>
      </c>
      <c r="B24" s="48" t="s">
        <v>119</v>
      </c>
      <c r="C24" s="47">
        <v>26653.6</v>
      </c>
      <c r="D24" s="8"/>
      <c r="E24">
        <f t="shared" si="0"/>
        <v>-3720.999200122868</v>
      </c>
      <c r="F24">
        <f t="shared" si="1"/>
        <v>-3721</v>
      </c>
      <c r="G24">
        <f t="shared" si="2"/>
        <v>0.005556999996770173</v>
      </c>
      <c r="I24">
        <f t="shared" si="3"/>
        <v>0.005556999996770173</v>
      </c>
      <c r="O24">
        <f t="shared" si="4"/>
        <v>-0.04364057917834244</v>
      </c>
      <c r="Q24" s="2">
        <f t="shared" si="5"/>
        <v>11635.099999999999</v>
      </c>
    </row>
    <row r="25" spans="1:17" ht="12.75">
      <c r="A25" s="46" t="s">
        <v>76</v>
      </c>
      <c r="B25" s="48" t="s">
        <v>119</v>
      </c>
      <c r="C25" s="47">
        <v>26709.17</v>
      </c>
      <c r="D25" s="8"/>
      <c r="E25">
        <f t="shared" si="0"/>
        <v>-3713.000428798629</v>
      </c>
      <c r="F25">
        <f t="shared" si="1"/>
        <v>-3713</v>
      </c>
      <c r="G25">
        <f t="shared" si="2"/>
        <v>-0.002979000004415866</v>
      </c>
      <c r="I25">
        <f t="shared" si="3"/>
        <v>-0.002979000004415866</v>
      </c>
      <c r="O25">
        <f t="shared" si="4"/>
        <v>-0.043549420567245825</v>
      </c>
      <c r="Q25" s="2">
        <f t="shared" si="5"/>
        <v>11690.669999999998</v>
      </c>
    </row>
    <row r="26" spans="1:17" ht="12.75">
      <c r="A26" s="46" t="s">
        <v>76</v>
      </c>
      <c r="B26" s="48" t="s">
        <v>119</v>
      </c>
      <c r="C26" s="47">
        <v>27042.65</v>
      </c>
      <c r="D26" s="8"/>
      <c r="E26">
        <f t="shared" si="0"/>
        <v>-3664.999164425634</v>
      </c>
      <c r="F26">
        <f t="shared" si="1"/>
        <v>-3665</v>
      </c>
      <c r="G26">
        <f t="shared" si="2"/>
        <v>0.005805000000691507</v>
      </c>
      <c r="I26">
        <f t="shared" si="3"/>
        <v>0.005805000000691507</v>
      </c>
      <c r="O26">
        <f t="shared" si="4"/>
        <v>-0.043002468900666155</v>
      </c>
      <c r="Q26" s="2">
        <f t="shared" si="5"/>
        <v>12024.150000000001</v>
      </c>
    </row>
    <row r="27" spans="1:17" ht="12.75">
      <c r="A27" s="46" t="s">
        <v>76</v>
      </c>
      <c r="B27" s="48" t="s">
        <v>119</v>
      </c>
      <c r="C27" s="47">
        <v>27862.44</v>
      </c>
      <c r="D27" s="8"/>
      <c r="E27">
        <f t="shared" si="0"/>
        <v>-3546.9982152822454</v>
      </c>
      <c r="F27">
        <f t="shared" si="1"/>
        <v>-3547</v>
      </c>
      <c r="G27">
        <f t="shared" si="2"/>
        <v>0.012398999995639315</v>
      </c>
      <c r="I27">
        <f t="shared" si="3"/>
        <v>0.012398999995639315</v>
      </c>
      <c r="O27">
        <f t="shared" si="4"/>
        <v>-0.041657879386991115</v>
      </c>
      <c r="Q27" s="2">
        <f t="shared" si="5"/>
        <v>12843.939999999999</v>
      </c>
    </row>
    <row r="28" spans="1:17" ht="12.75">
      <c r="A28" s="46" t="s">
        <v>59</v>
      </c>
      <c r="B28" s="48" t="s">
        <v>119</v>
      </c>
      <c r="C28" s="47">
        <v>28494.63</v>
      </c>
      <c r="D28" s="8"/>
      <c r="E28">
        <f t="shared" si="0"/>
        <v>-3456.000496306704</v>
      </c>
      <c r="F28">
        <f t="shared" si="1"/>
        <v>-3456</v>
      </c>
      <c r="G28">
        <f t="shared" si="2"/>
        <v>-0.003447999999480089</v>
      </c>
      <c r="I28">
        <f t="shared" si="3"/>
        <v>-0.003447999999480089</v>
      </c>
      <c r="O28">
        <f t="shared" si="4"/>
        <v>-0.04062095018576714</v>
      </c>
      <c r="Q28" s="2">
        <f t="shared" si="5"/>
        <v>13476.130000000001</v>
      </c>
    </row>
    <row r="29" spans="1:17" ht="12.75">
      <c r="A29" s="46" t="s">
        <v>59</v>
      </c>
      <c r="B29" s="48" t="s">
        <v>119</v>
      </c>
      <c r="C29" s="47">
        <v>30321.61</v>
      </c>
      <c r="D29" s="8"/>
      <c r="E29">
        <f t="shared" si="0"/>
        <v>-3193.0241559439423</v>
      </c>
      <c r="F29">
        <f t="shared" si="1"/>
        <v>-3193</v>
      </c>
      <c r="G29">
        <f t="shared" si="2"/>
        <v>-0.16781900000205496</v>
      </c>
      <c r="I29">
        <f t="shared" si="3"/>
        <v>-0.16781900000205496</v>
      </c>
      <c r="O29">
        <f t="shared" si="4"/>
        <v>-0.037624110845965994</v>
      </c>
      <c r="Q29" s="2">
        <f t="shared" si="5"/>
        <v>15303.11</v>
      </c>
    </row>
    <row r="30" spans="1:17" ht="12.75">
      <c r="A30" s="46" t="s">
        <v>59</v>
      </c>
      <c r="B30" s="48" t="s">
        <v>119</v>
      </c>
      <c r="C30" s="47">
        <v>30377.44</v>
      </c>
      <c r="D30" s="8"/>
      <c r="E30">
        <f t="shared" si="0"/>
        <v>-3184.987960100281</v>
      </c>
      <c r="F30">
        <f t="shared" si="1"/>
        <v>-3185</v>
      </c>
      <c r="G30">
        <f t="shared" si="2"/>
        <v>0.08364499999879627</v>
      </c>
      <c r="I30">
        <f t="shared" si="3"/>
        <v>0.08364499999879627</v>
      </c>
      <c r="O30">
        <f t="shared" si="4"/>
        <v>-0.03753295223486938</v>
      </c>
      <c r="Q30" s="2">
        <f t="shared" si="5"/>
        <v>15358.939999999999</v>
      </c>
    </row>
    <row r="31" spans="1:17" ht="12.75">
      <c r="A31" s="46" t="s">
        <v>59</v>
      </c>
      <c r="B31" s="48" t="s">
        <v>119</v>
      </c>
      <c r="C31" s="47">
        <v>30731.52</v>
      </c>
      <c r="D31" s="8"/>
      <c r="E31">
        <f t="shared" si="0"/>
        <v>-3134.0215222653583</v>
      </c>
      <c r="F31">
        <f t="shared" si="1"/>
        <v>-3134</v>
      </c>
      <c r="G31">
        <f t="shared" si="2"/>
        <v>-0.14952199999970617</v>
      </c>
      <c r="I31">
        <f t="shared" si="3"/>
        <v>-0.14952199999970617</v>
      </c>
      <c r="O31">
        <f t="shared" si="4"/>
        <v>-0.03695181608912848</v>
      </c>
      <c r="Q31" s="2">
        <f t="shared" si="5"/>
        <v>15713.02</v>
      </c>
    </row>
    <row r="32" spans="1:17" ht="12.75">
      <c r="A32" s="46" t="s">
        <v>97</v>
      </c>
      <c r="B32" s="48" t="s">
        <v>119</v>
      </c>
      <c r="C32" s="47">
        <v>32260.108</v>
      </c>
      <c r="D32" s="8"/>
      <c r="E32">
        <f t="shared" si="0"/>
        <v>-2913.9958634390805</v>
      </c>
      <c r="F32">
        <f t="shared" si="1"/>
        <v>-2914</v>
      </c>
      <c r="G32">
        <f t="shared" si="2"/>
        <v>0.028737999997247243</v>
      </c>
      <c r="I32">
        <f t="shared" si="3"/>
        <v>0.028737999997247243</v>
      </c>
      <c r="O32">
        <f t="shared" si="4"/>
        <v>-0.034444954283971624</v>
      </c>
      <c r="Q32" s="2">
        <f t="shared" si="5"/>
        <v>17241.608</v>
      </c>
    </row>
    <row r="33" spans="1:17" ht="12.75">
      <c r="A33" s="46" t="s">
        <v>101</v>
      </c>
      <c r="B33" s="48" t="s">
        <v>119</v>
      </c>
      <c r="C33" s="47">
        <v>32274.002</v>
      </c>
      <c r="D33" s="8"/>
      <c r="E33">
        <f t="shared" si="0"/>
        <v>-2911.9959546973314</v>
      </c>
      <c r="F33">
        <f t="shared" si="1"/>
        <v>-2912</v>
      </c>
      <c r="G33">
        <f t="shared" si="2"/>
        <v>0.028103999997256324</v>
      </c>
      <c r="I33">
        <f t="shared" si="3"/>
        <v>0.028103999997256324</v>
      </c>
      <c r="O33">
        <f t="shared" si="4"/>
        <v>-0.034422164631197474</v>
      </c>
      <c r="Q33" s="2">
        <f t="shared" si="5"/>
        <v>17255.502</v>
      </c>
    </row>
    <row r="34" spans="1:17" ht="12.75">
      <c r="A34" s="30" t="s">
        <v>42</v>
      </c>
      <c r="B34" s="31"/>
      <c r="C34" s="32">
        <v>51587.559</v>
      </c>
      <c r="D34" s="8"/>
      <c r="E34">
        <f t="shared" si="0"/>
        <v>-131.99368907450176</v>
      </c>
      <c r="F34">
        <f t="shared" si="1"/>
        <v>-132</v>
      </c>
      <c r="G34">
        <f t="shared" si="2"/>
        <v>0.04384399999980815</v>
      </c>
      <c r="I34">
        <f t="shared" si="3"/>
        <v>0.04384399999980815</v>
      </c>
      <c r="O34">
        <f t="shared" si="4"/>
        <v>-0.0027445472751245208</v>
      </c>
      <c r="Q34" s="2">
        <f t="shared" si="5"/>
        <v>36569.059</v>
      </c>
    </row>
    <row r="35" spans="1:17" ht="12.75">
      <c r="A35">
        <f>D21</f>
        <v>0</v>
      </c>
      <c r="C35" s="8">
        <f>C$7</f>
        <v>52504.561</v>
      </c>
      <c r="D35" s="8" t="s">
        <v>13</v>
      </c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-0.0012404301920304096</v>
      </c>
      <c r="Q35" s="2">
        <f t="shared" si="5"/>
        <v>37486.061</v>
      </c>
    </row>
    <row r="36" spans="1:17" ht="12.75">
      <c r="A36" s="46" t="s">
        <v>111</v>
      </c>
      <c r="B36" s="48" t="s">
        <v>119</v>
      </c>
      <c r="C36" s="47">
        <v>52997.833</v>
      </c>
      <c r="D36" s="8"/>
      <c r="E36">
        <f t="shared" si="0"/>
        <v>71.00179824815784</v>
      </c>
      <c r="F36">
        <f t="shared" si="1"/>
        <v>71</v>
      </c>
      <c r="G36">
        <f t="shared" si="2"/>
        <v>0.012492999994719867</v>
      </c>
      <c r="I36">
        <f>+G36</f>
        <v>0.012492999994719867</v>
      </c>
      <c r="O36">
        <f t="shared" si="4"/>
        <v>-0.000431397518547971</v>
      </c>
      <c r="Q36" s="2">
        <f t="shared" si="5"/>
        <v>37979.333</v>
      </c>
    </row>
    <row r="37" spans="1:17" ht="12.75">
      <c r="A37" s="46" t="s">
        <v>118</v>
      </c>
      <c r="B37" s="48" t="s">
        <v>119</v>
      </c>
      <c r="C37" s="47">
        <v>55207.0515</v>
      </c>
      <c r="D37" s="8"/>
      <c r="E37">
        <f t="shared" si="0"/>
        <v>388.9977238695168</v>
      </c>
      <c r="F37">
        <f t="shared" si="1"/>
        <v>389</v>
      </c>
      <c r="G37">
        <f t="shared" si="2"/>
        <v>-0.015812999998161104</v>
      </c>
      <c r="K37">
        <f>+G37</f>
        <v>-0.015812999998161104</v>
      </c>
      <c r="O37">
        <f t="shared" si="4"/>
        <v>0.003192157272542388</v>
      </c>
      <c r="Q37" s="2">
        <f t="shared" si="5"/>
        <v>40188.5515</v>
      </c>
    </row>
    <row r="38" spans="1:17" ht="12.75">
      <c r="A38" s="53" t="s">
        <v>120</v>
      </c>
      <c r="B38" s="54" t="s">
        <v>119</v>
      </c>
      <c r="C38" s="55">
        <v>57055.0347</v>
      </c>
      <c r="D38" s="53" t="s">
        <v>116</v>
      </c>
      <c r="E38">
        <f>+(C38-C$7)/C$8</f>
        <v>654.9972744874021</v>
      </c>
      <c r="F38">
        <f>ROUND(2*E38,0)/2</f>
        <v>655</v>
      </c>
      <c r="G38">
        <f>+C38-(C$7+F38*C$8)</f>
        <v>-0.018935000007331837</v>
      </c>
      <c r="K38">
        <f>+G38</f>
        <v>-0.018935000007331837</v>
      </c>
      <c r="O38">
        <f>+C$11+C$12*$F38</f>
        <v>0.006223181091504763</v>
      </c>
      <c r="Q38" s="2">
        <f>+C38-15018.5</f>
        <v>42036.5347</v>
      </c>
    </row>
    <row r="39" spans="1:17" ht="15">
      <c r="A39" s="53" t="s">
        <v>120</v>
      </c>
      <c r="B39" s="50"/>
      <c r="C39" s="55">
        <v>57061.98653333327</v>
      </c>
      <c r="D39" s="52"/>
      <c r="E39">
        <f>+(C39-C$7)/C$8</f>
        <v>655.9979245704881</v>
      </c>
      <c r="F39">
        <f>ROUND(2*E39,0)/2</f>
        <v>656</v>
      </c>
      <c r="G39">
        <f>+C39-(C$7+F39*C$8)</f>
        <v>-0.014418666731216945</v>
      </c>
      <c r="K39">
        <f>+G39</f>
        <v>-0.014418666731216945</v>
      </c>
      <c r="O39">
        <f>+C$11+C$12*$F39</f>
        <v>0.00623457591789184</v>
      </c>
      <c r="Q39" s="2">
        <f>+C39-15018.5</f>
        <v>42043.48653333327</v>
      </c>
    </row>
    <row r="40" spans="1:17" ht="12.75">
      <c r="A40" s="49"/>
      <c r="B40" s="50"/>
      <c r="C40" s="51"/>
      <c r="D40" s="51"/>
      <c r="Q40" s="2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9"/>
  <sheetViews>
    <sheetView zoomScalePageLayoutView="0" workbookViewId="0" topLeftCell="A3">
      <selection activeCell="A12" sqref="A12:C26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3" t="s">
        <v>43</v>
      </c>
      <c r="I1" s="34" t="s">
        <v>44</v>
      </c>
      <c r="J1" s="35" t="s">
        <v>45</v>
      </c>
    </row>
    <row r="2" spans="9:10" ht="12.75">
      <c r="I2" s="36" t="s">
        <v>46</v>
      </c>
      <c r="J2" s="37" t="s">
        <v>47</v>
      </c>
    </row>
    <row r="3" spans="1:10" ht="12.75">
      <c r="A3" s="38" t="s">
        <v>48</v>
      </c>
      <c r="I3" s="36" t="s">
        <v>49</v>
      </c>
      <c r="J3" s="37" t="s">
        <v>50</v>
      </c>
    </row>
    <row r="4" spans="9:10" ht="12.75">
      <c r="I4" s="36" t="s">
        <v>51</v>
      </c>
      <c r="J4" s="37" t="s">
        <v>50</v>
      </c>
    </row>
    <row r="5" spans="9:10" ht="13.5" thickBot="1">
      <c r="I5" s="39" t="s">
        <v>52</v>
      </c>
      <c r="J5" s="40" t="s">
        <v>53</v>
      </c>
    </row>
    <row r="10" ht="13.5" thickBot="1"/>
    <row r="11" spans="1:16" ht="12.75" customHeight="1" thickBot="1">
      <c r="A11" s="8" t="str">
        <f aca="true" t="shared" si="0" ref="A11:A26">P11</f>
        <v> JAAVSO 41;122 </v>
      </c>
      <c r="B11" s="3" t="str">
        <f aca="true" t="shared" si="1" ref="B11:B26">IF(H11=INT(H11),"I","II")</f>
        <v>I</v>
      </c>
      <c r="C11" s="8">
        <f aca="true" t="shared" si="2" ref="C11:C26">1*G11</f>
        <v>51587.559</v>
      </c>
      <c r="D11" s="10" t="str">
        <f aca="true" t="shared" si="3" ref="D11:D26">VLOOKUP(F11,I$1:J$5,2,FALSE)</f>
        <v>vis</v>
      </c>
      <c r="E11" s="41">
        <f>VLOOKUP(C11,A!C$21:E$964,3,FALSE)</f>
        <v>-131.99368907450176</v>
      </c>
      <c r="F11" s="3" t="s">
        <v>52</v>
      </c>
      <c r="G11" s="10" t="str">
        <f aca="true" t="shared" si="4" ref="G11:G26">MID(I11,3,LEN(I11)-3)</f>
        <v>51587.559</v>
      </c>
      <c r="H11" s="8">
        <f aca="true" t="shared" si="5" ref="H11:H26">1*K11</f>
        <v>3581</v>
      </c>
      <c r="I11" s="42" t="s">
        <v>102</v>
      </c>
      <c r="J11" s="43" t="s">
        <v>103</v>
      </c>
      <c r="K11" s="42">
        <v>3581</v>
      </c>
      <c r="L11" s="42" t="s">
        <v>104</v>
      </c>
      <c r="M11" s="43" t="s">
        <v>69</v>
      </c>
      <c r="N11" s="43"/>
      <c r="O11" s="44" t="s">
        <v>105</v>
      </c>
      <c r="P11" s="44" t="s">
        <v>106</v>
      </c>
    </row>
    <row r="12" spans="1:16" ht="12.75" customHeight="1" thickBot="1">
      <c r="A12" s="8" t="str">
        <f t="shared" si="0"/>
        <v> MVS 685 </v>
      </c>
      <c r="B12" s="3" t="str">
        <f t="shared" si="1"/>
        <v>I</v>
      </c>
      <c r="C12" s="8">
        <f t="shared" si="2"/>
        <v>25590.59</v>
      </c>
      <c r="D12" s="10" t="str">
        <f t="shared" si="3"/>
        <v>vis</v>
      </c>
      <c r="E12" s="41">
        <f>VLOOKUP(C12,A!C$21:E$964,3,FALSE)</f>
        <v>-3874.0093477813093</v>
      </c>
      <c r="F12" s="3" t="s">
        <v>52</v>
      </c>
      <c r="G12" s="10" t="str">
        <f t="shared" si="4"/>
        <v>25590.59</v>
      </c>
      <c r="H12" s="8">
        <f t="shared" si="5"/>
        <v>-161</v>
      </c>
      <c r="I12" s="42" t="s">
        <v>54</v>
      </c>
      <c r="J12" s="43" t="s">
        <v>55</v>
      </c>
      <c r="K12" s="42">
        <v>-161</v>
      </c>
      <c r="L12" s="42" t="s">
        <v>56</v>
      </c>
      <c r="M12" s="43" t="s">
        <v>57</v>
      </c>
      <c r="N12" s="43"/>
      <c r="O12" s="44" t="s">
        <v>58</v>
      </c>
      <c r="P12" s="44" t="s">
        <v>59</v>
      </c>
    </row>
    <row r="13" spans="1:16" ht="12.75" customHeight="1" thickBot="1">
      <c r="A13" s="8" t="str">
        <f t="shared" si="0"/>
        <v> MVS 685 </v>
      </c>
      <c r="B13" s="3" t="str">
        <f t="shared" si="1"/>
        <v>I</v>
      </c>
      <c r="C13" s="8">
        <f t="shared" si="2"/>
        <v>26625.63</v>
      </c>
      <c r="D13" s="10" t="str">
        <f t="shared" si="3"/>
        <v>vis</v>
      </c>
      <c r="E13" s="41">
        <f>VLOOKUP(C13,A!C$21:E$964,3,FALSE)</f>
        <v>-3725.0252147699607</v>
      </c>
      <c r="F13" s="3" t="s">
        <v>52</v>
      </c>
      <c r="G13" s="10" t="str">
        <f t="shared" si="4"/>
        <v>26625.63</v>
      </c>
      <c r="H13" s="8">
        <f t="shared" si="5"/>
        <v>-12</v>
      </c>
      <c r="I13" s="42" t="s">
        <v>60</v>
      </c>
      <c r="J13" s="43" t="s">
        <v>61</v>
      </c>
      <c r="K13" s="42">
        <v>-12</v>
      </c>
      <c r="L13" s="42" t="s">
        <v>62</v>
      </c>
      <c r="M13" s="43" t="s">
        <v>57</v>
      </c>
      <c r="N13" s="43"/>
      <c r="O13" s="44" t="s">
        <v>58</v>
      </c>
      <c r="P13" s="44" t="s">
        <v>59</v>
      </c>
    </row>
    <row r="14" spans="1:16" ht="12.75" customHeight="1" thickBot="1">
      <c r="A14" s="8" t="str">
        <f t="shared" si="0"/>
        <v> MVS 685 </v>
      </c>
      <c r="B14" s="3" t="str">
        <f t="shared" si="1"/>
        <v>I</v>
      </c>
      <c r="C14" s="8">
        <f t="shared" si="2"/>
        <v>26632.63</v>
      </c>
      <c r="D14" s="10" t="str">
        <f t="shared" si="3"/>
        <v>vis</v>
      </c>
      <c r="E14" s="41">
        <f>VLOOKUP(C14,A!C$21:E$964,3,FALSE)</f>
        <v>-3724.017631554743</v>
      </c>
      <c r="F14" s="3" t="s">
        <v>52</v>
      </c>
      <c r="G14" s="10" t="str">
        <f t="shared" si="4"/>
        <v>26632.63</v>
      </c>
      <c r="H14" s="8">
        <f t="shared" si="5"/>
        <v>-11</v>
      </c>
      <c r="I14" s="42" t="s">
        <v>63</v>
      </c>
      <c r="J14" s="43" t="s">
        <v>64</v>
      </c>
      <c r="K14" s="42">
        <v>-11</v>
      </c>
      <c r="L14" s="42" t="s">
        <v>65</v>
      </c>
      <c r="M14" s="43" t="s">
        <v>57</v>
      </c>
      <c r="N14" s="43"/>
      <c r="O14" s="44" t="s">
        <v>58</v>
      </c>
      <c r="P14" s="44" t="s">
        <v>59</v>
      </c>
    </row>
    <row r="15" spans="1:16" ht="12.75" customHeight="1" thickBot="1">
      <c r="A15" s="8" t="str">
        <f t="shared" si="0"/>
        <v> AA 27.154 </v>
      </c>
      <c r="B15" s="3" t="str">
        <f t="shared" si="1"/>
        <v>I</v>
      </c>
      <c r="C15" s="8">
        <f t="shared" si="2"/>
        <v>26653.6</v>
      </c>
      <c r="D15" s="10" t="str">
        <f t="shared" si="3"/>
        <v>vis</v>
      </c>
      <c r="E15" s="41">
        <f>VLOOKUP(C15,A!C$21:E$964,3,FALSE)</f>
        <v>-3720.999200122868</v>
      </c>
      <c r="F15" s="3" t="s">
        <v>52</v>
      </c>
      <c r="G15" s="10" t="str">
        <f t="shared" si="4"/>
        <v>26653.600</v>
      </c>
      <c r="H15" s="8">
        <f t="shared" si="5"/>
        <v>-8</v>
      </c>
      <c r="I15" s="42" t="s">
        <v>66</v>
      </c>
      <c r="J15" s="43" t="s">
        <v>67</v>
      </c>
      <c r="K15" s="42">
        <v>-8</v>
      </c>
      <c r="L15" s="42" t="s">
        <v>68</v>
      </c>
      <c r="M15" s="43" t="s">
        <v>69</v>
      </c>
      <c r="N15" s="43"/>
      <c r="O15" s="44" t="s">
        <v>70</v>
      </c>
      <c r="P15" s="44" t="s">
        <v>71</v>
      </c>
    </row>
    <row r="16" spans="1:16" ht="12.75" customHeight="1" thickBot="1">
      <c r="A16" s="8" t="str">
        <f t="shared" si="0"/>
        <v> PSMO 8.2.52 </v>
      </c>
      <c r="B16" s="3" t="str">
        <f t="shared" si="1"/>
        <v>I</v>
      </c>
      <c r="C16" s="8">
        <f t="shared" si="2"/>
        <v>26709.17</v>
      </c>
      <c r="D16" s="10" t="str">
        <f t="shared" si="3"/>
        <v>vis</v>
      </c>
      <c r="E16" s="41">
        <f>VLOOKUP(C16,A!C$21:E$964,3,FALSE)</f>
        <v>-3713.000428798629</v>
      </c>
      <c r="F16" s="3" t="s">
        <v>52</v>
      </c>
      <c r="G16" s="10" t="str">
        <f t="shared" si="4"/>
        <v>26709.17</v>
      </c>
      <c r="H16" s="8">
        <f t="shared" si="5"/>
        <v>0</v>
      </c>
      <c r="I16" s="42" t="s">
        <v>72</v>
      </c>
      <c r="J16" s="43" t="s">
        <v>73</v>
      </c>
      <c r="K16" s="42">
        <v>0</v>
      </c>
      <c r="L16" s="42" t="s">
        <v>74</v>
      </c>
      <c r="M16" s="43" t="s">
        <v>69</v>
      </c>
      <c r="N16" s="43"/>
      <c r="O16" s="44" t="s">
        <v>75</v>
      </c>
      <c r="P16" s="44" t="s">
        <v>76</v>
      </c>
    </row>
    <row r="17" spans="1:16" ht="12.75" customHeight="1" thickBot="1">
      <c r="A17" s="8" t="str">
        <f t="shared" si="0"/>
        <v> PSMO 8.2.52 </v>
      </c>
      <c r="B17" s="3" t="str">
        <f t="shared" si="1"/>
        <v>I</v>
      </c>
      <c r="C17" s="8">
        <f t="shared" si="2"/>
        <v>27042.65</v>
      </c>
      <c r="D17" s="10" t="str">
        <f t="shared" si="3"/>
        <v>vis</v>
      </c>
      <c r="E17" s="41">
        <f>VLOOKUP(C17,A!C$21:E$964,3,FALSE)</f>
        <v>-3664.999164425634</v>
      </c>
      <c r="F17" s="3" t="s">
        <v>52</v>
      </c>
      <c r="G17" s="10" t="str">
        <f t="shared" si="4"/>
        <v>27042.65</v>
      </c>
      <c r="H17" s="8">
        <f t="shared" si="5"/>
        <v>48</v>
      </c>
      <c r="I17" s="42" t="s">
        <v>77</v>
      </c>
      <c r="J17" s="43" t="s">
        <v>78</v>
      </c>
      <c r="K17" s="42">
        <v>48</v>
      </c>
      <c r="L17" s="42" t="s">
        <v>79</v>
      </c>
      <c r="M17" s="43" t="s">
        <v>69</v>
      </c>
      <c r="N17" s="43"/>
      <c r="O17" s="44" t="s">
        <v>75</v>
      </c>
      <c r="P17" s="44" t="s">
        <v>76</v>
      </c>
    </row>
    <row r="18" spans="1:16" ht="12.75" customHeight="1" thickBot="1">
      <c r="A18" s="8" t="str">
        <f t="shared" si="0"/>
        <v> PSMO 8.2.52 </v>
      </c>
      <c r="B18" s="3" t="str">
        <f t="shared" si="1"/>
        <v>I</v>
      </c>
      <c r="C18" s="8">
        <f t="shared" si="2"/>
        <v>27862.44</v>
      </c>
      <c r="D18" s="10" t="str">
        <f t="shared" si="3"/>
        <v>vis</v>
      </c>
      <c r="E18" s="41">
        <f>VLOOKUP(C18,A!C$21:E$964,3,FALSE)</f>
        <v>-3546.9982152822454</v>
      </c>
      <c r="F18" s="3" t="s">
        <v>52</v>
      </c>
      <c r="G18" s="10" t="str">
        <f t="shared" si="4"/>
        <v>27862.44</v>
      </c>
      <c r="H18" s="8">
        <f t="shared" si="5"/>
        <v>166</v>
      </c>
      <c r="I18" s="42" t="s">
        <v>80</v>
      </c>
      <c r="J18" s="43" t="s">
        <v>81</v>
      </c>
      <c r="K18" s="42">
        <v>166</v>
      </c>
      <c r="L18" s="42" t="s">
        <v>79</v>
      </c>
      <c r="M18" s="43" t="s">
        <v>69</v>
      </c>
      <c r="N18" s="43"/>
      <c r="O18" s="44" t="s">
        <v>75</v>
      </c>
      <c r="P18" s="44" t="s">
        <v>76</v>
      </c>
    </row>
    <row r="19" spans="1:16" ht="12.75" customHeight="1" thickBot="1">
      <c r="A19" s="8" t="str">
        <f t="shared" si="0"/>
        <v> MVS 685 </v>
      </c>
      <c r="B19" s="3" t="str">
        <f t="shared" si="1"/>
        <v>I</v>
      </c>
      <c r="C19" s="8">
        <f t="shared" si="2"/>
        <v>28494.63</v>
      </c>
      <c r="D19" s="10" t="str">
        <f t="shared" si="3"/>
        <v>vis</v>
      </c>
      <c r="E19" s="41">
        <f>VLOOKUP(C19,A!C$21:E$964,3,FALSE)</f>
        <v>-3456.000496306704</v>
      </c>
      <c r="F19" s="3" t="s">
        <v>52</v>
      </c>
      <c r="G19" s="10" t="str">
        <f t="shared" si="4"/>
        <v>28494.63</v>
      </c>
      <c r="H19" s="8">
        <f t="shared" si="5"/>
        <v>257</v>
      </c>
      <c r="I19" s="42" t="s">
        <v>82</v>
      </c>
      <c r="J19" s="43" t="s">
        <v>83</v>
      </c>
      <c r="K19" s="42">
        <v>257</v>
      </c>
      <c r="L19" s="42" t="s">
        <v>84</v>
      </c>
      <c r="M19" s="43" t="s">
        <v>57</v>
      </c>
      <c r="N19" s="43"/>
      <c r="O19" s="44" t="s">
        <v>58</v>
      </c>
      <c r="P19" s="44" t="s">
        <v>59</v>
      </c>
    </row>
    <row r="20" spans="1:16" ht="12.75" customHeight="1" thickBot="1">
      <c r="A20" s="8" t="str">
        <f t="shared" si="0"/>
        <v> MVS 685 </v>
      </c>
      <c r="B20" s="3" t="str">
        <f t="shared" si="1"/>
        <v>I</v>
      </c>
      <c r="C20" s="8">
        <f t="shared" si="2"/>
        <v>30321.61</v>
      </c>
      <c r="D20" s="10" t="str">
        <f t="shared" si="3"/>
        <v>vis</v>
      </c>
      <c r="E20" s="41">
        <f>VLOOKUP(C20,A!C$21:E$964,3,FALSE)</f>
        <v>-3193.0241559439423</v>
      </c>
      <c r="F20" s="3" t="s">
        <v>52</v>
      </c>
      <c r="G20" s="10" t="str">
        <f t="shared" si="4"/>
        <v>30321.61</v>
      </c>
      <c r="H20" s="8">
        <f t="shared" si="5"/>
        <v>520</v>
      </c>
      <c r="I20" s="42" t="s">
        <v>85</v>
      </c>
      <c r="J20" s="43" t="s">
        <v>86</v>
      </c>
      <c r="K20" s="42">
        <v>520</v>
      </c>
      <c r="L20" s="42" t="s">
        <v>87</v>
      </c>
      <c r="M20" s="43" t="s">
        <v>57</v>
      </c>
      <c r="N20" s="43"/>
      <c r="O20" s="44" t="s">
        <v>58</v>
      </c>
      <c r="P20" s="44" t="s">
        <v>59</v>
      </c>
    </row>
    <row r="21" spans="1:16" ht="12.75" customHeight="1" thickBot="1">
      <c r="A21" s="8" t="str">
        <f t="shared" si="0"/>
        <v> MVS 685 </v>
      </c>
      <c r="B21" s="3" t="str">
        <f t="shared" si="1"/>
        <v>I</v>
      </c>
      <c r="C21" s="8">
        <f t="shared" si="2"/>
        <v>30377.44</v>
      </c>
      <c r="D21" s="10" t="str">
        <f t="shared" si="3"/>
        <v>vis</v>
      </c>
      <c r="E21" s="41">
        <f>VLOOKUP(C21,A!C$21:E$964,3,FALSE)</f>
        <v>-3184.987960100281</v>
      </c>
      <c r="F21" s="3" t="s">
        <v>52</v>
      </c>
      <c r="G21" s="10" t="str">
        <f t="shared" si="4"/>
        <v>30377.44</v>
      </c>
      <c r="H21" s="8">
        <f t="shared" si="5"/>
        <v>528</v>
      </c>
      <c r="I21" s="42" t="s">
        <v>88</v>
      </c>
      <c r="J21" s="43" t="s">
        <v>89</v>
      </c>
      <c r="K21" s="42">
        <v>528</v>
      </c>
      <c r="L21" s="42" t="s">
        <v>90</v>
      </c>
      <c r="M21" s="43" t="s">
        <v>57</v>
      </c>
      <c r="N21" s="43"/>
      <c r="O21" s="44" t="s">
        <v>58</v>
      </c>
      <c r="P21" s="44" t="s">
        <v>59</v>
      </c>
    </row>
    <row r="22" spans="1:16" ht="12.75" customHeight="1" thickBot="1">
      <c r="A22" s="8" t="str">
        <f t="shared" si="0"/>
        <v> MVS 685 </v>
      </c>
      <c r="B22" s="3" t="str">
        <f t="shared" si="1"/>
        <v>I</v>
      </c>
      <c r="C22" s="8">
        <f t="shared" si="2"/>
        <v>30731.52</v>
      </c>
      <c r="D22" s="10" t="str">
        <f t="shared" si="3"/>
        <v>vis</v>
      </c>
      <c r="E22" s="41">
        <f>VLOOKUP(C22,A!C$21:E$964,3,FALSE)</f>
        <v>-3134.0215222653583</v>
      </c>
      <c r="F22" s="3" t="s">
        <v>52</v>
      </c>
      <c r="G22" s="10" t="str">
        <f t="shared" si="4"/>
        <v>30731.52</v>
      </c>
      <c r="H22" s="8">
        <f t="shared" si="5"/>
        <v>579</v>
      </c>
      <c r="I22" s="42" t="s">
        <v>91</v>
      </c>
      <c r="J22" s="43" t="s">
        <v>92</v>
      </c>
      <c r="K22" s="42">
        <v>579</v>
      </c>
      <c r="L22" s="42" t="s">
        <v>62</v>
      </c>
      <c r="M22" s="43" t="s">
        <v>57</v>
      </c>
      <c r="N22" s="43"/>
      <c r="O22" s="44" t="s">
        <v>58</v>
      </c>
      <c r="P22" s="44" t="s">
        <v>59</v>
      </c>
    </row>
    <row r="23" spans="1:16" ht="12.75" customHeight="1" thickBot="1">
      <c r="A23" s="8" t="str">
        <f t="shared" si="0"/>
        <v> PZ 12.274 </v>
      </c>
      <c r="B23" s="3" t="str">
        <f t="shared" si="1"/>
        <v>I</v>
      </c>
      <c r="C23" s="8">
        <f t="shared" si="2"/>
        <v>32260.108</v>
      </c>
      <c r="D23" s="10" t="str">
        <f t="shared" si="3"/>
        <v>vis</v>
      </c>
      <c r="E23" s="41">
        <f>VLOOKUP(C23,A!C$21:E$964,3,FALSE)</f>
        <v>-2913.9958634390805</v>
      </c>
      <c r="F23" s="3" t="s">
        <v>52</v>
      </c>
      <c r="G23" s="10" t="str">
        <f t="shared" si="4"/>
        <v>32260.108</v>
      </c>
      <c r="H23" s="8">
        <f t="shared" si="5"/>
        <v>799</v>
      </c>
      <c r="I23" s="42" t="s">
        <v>93</v>
      </c>
      <c r="J23" s="43" t="s">
        <v>94</v>
      </c>
      <c r="K23" s="42">
        <v>799</v>
      </c>
      <c r="L23" s="42" t="s">
        <v>95</v>
      </c>
      <c r="M23" s="43" t="s">
        <v>69</v>
      </c>
      <c r="N23" s="43"/>
      <c r="O23" s="44" t="s">
        <v>96</v>
      </c>
      <c r="P23" s="44" t="s">
        <v>97</v>
      </c>
    </row>
    <row r="24" spans="1:16" ht="12.75" customHeight="1" thickBot="1">
      <c r="A24" s="8" t="str">
        <f t="shared" si="0"/>
        <v> AC 64.3 </v>
      </c>
      <c r="B24" s="3" t="str">
        <f t="shared" si="1"/>
        <v>I</v>
      </c>
      <c r="C24" s="8">
        <f t="shared" si="2"/>
        <v>32274.002</v>
      </c>
      <c r="D24" s="10" t="str">
        <f t="shared" si="3"/>
        <v>vis</v>
      </c>
      <c r="E24" s="41">
        <f>VLOOKUP(C24,A!C$21:E$964,3,FALSE)</f>
        <v>-2911.9959546973314</v>
      </c>
      <c r="F24" s="3" t="s">
        <v>52</v>
      </c>
      <c r="G24" s="10" t="str">
        <f t="shared" si="4"/>
        <v>32274.002</v>
      </c>
      <c r="H24" s="8">
        <f t="shared" si="5"/>
        <v>801</v>
      </c>
      <c r="I24" s="42" t="s">
        <v>98</v>
      </c>
      <c r="J24" s="43" t="s">
        <v>99</v>
      </c>
      <c r="K24" s="42">
        <v>801</v>
      </c>
      <c r="L24" s="42" t="s">
        <v>100</v>
      </c>
      <c r="M24" s="43" t="s">
        <v>69</v>
      </c>
      <c r="N24" s="43"/>
      <c r="O24" s="44" t="s">
        <v>96</v>
      </c>
      <c r="P24" s="44" t="s">
        <v>101</v>
      </c>
    </row>
    <row r="25" spans="1:16" ht="12.75" customHeight="1" thickBot="1">
      <c r="A25" s="8" t="str">
        <f t="shared" si="0"/>
        <v>BAVM 171 </v>
      </c>
      <c r="B25" s="3" t="str">
        <f t="shared" si="1"/>
        <v>I</v>
      </c>
      <c r="C25" s="8">
        <f t="shared" si="2"/>
        <v>52997.833</v>
      </c>
      <c r="D25" s="10" t="str">
        <f t="shared" si="3"/>
        <v>vis</v>
      </c>
      <c r="E25" s="41">
        <f>VLOOKUP(C25,A!C$21:E$964,3,FALSE)</f>
        <v>71.00179824815784</v>
      </c>
      <c r="F25" s="3" t="s">
        <v>52</v>
      </c>
      <c r="G25" s="10" t="str">
        <f t="shared" si="4"/>
        <v>52997.833</v>
      </c>
      <c r="H25" s="8">
        <f t="shared" si="5"/>
        <v>3784</v>
      </c>
      <c r="I25" s="42" t="s">
        <v>107</v>
      </c>
      <c r="J25" s="43" t="s">
        <v>108</v>
      </c>
      <c r="K25" s="42">
        <v>3784</v>
      </c>
      <c r="L25" s="42" t="s">
        <v>109</v>
      </c>
      <c r="M25" s="43" t="s">
        <v>69</v>
      </c>
      <c r="N25" s="43"/>
      <c r="O25" s="44" t="s">
        <v>110</v>
      </c>
      <c r="P25" s="45" t="s">
        <v>111</v>
      </c>
    </row>
    <row r="26" spans="1:16" ht="12.75" customHeight="1" thickBot="1">
      <c r="A26" s="8" t="str">
        <f t="shared" si="0"/>
        <v>VSB 51 </v>
      </c>
      <c r="B26" s="3" t="str">
        <f t="shared" si="1"/>
        <v>I</v>
      </c>
      <c r="C26" s="8">
        <f t="shared" si="2"/>
        <v>55207.0515</v>
      </c>
      <c r="D26" s="10" t="str">
        <f t="shared" si="3"/>
        <v>vis</v>
      </c>
      <c r="E26" s="41">
        <f>VLOOKUP(C26,A!C$21:E$964,3,FALSE)</f>
        <v>388.9977238695168</v>
      </c>
      <c r="F26" s="3" t="s">
        <v>52</v>
      </c>
      <c r="G26" s="10" t="str">
        <f t="shared" si="4"/>
        <v>55207.0515</v>
      </c>
      <c r="H26" s="8">
        <f t="shared" si="5"/>
        <v>4102</v>
      </c>
      <c r="I26" s="42" t="s">
        <v>112</v>
      </c>
      <c r="J26" s="43" t="s">
        <v>113</v>
      </c>
      <c r="K26" s="42">
        <v>4102</v>
      </c>
      <c r="L26" s="42" t="s">
        <v>114</v>
      </c>
      <c r="M26" s="43" t="s">
        <v>115</v>
      </c>
      <c r="N26" s="43" t="s">
        <v>116</v>
      </c>
      <c r="O26" s="44" t="s">
        <v>117</v>
      </c>
      <c r="P26" s="45" t="s">
        <v>118</v>
      </c>
    </row>
    <row r="27" spans="2:6" ht="12.75">
      <c r="B27" s="3"/>
      <c r="E27" s="41"/>
      <c r="F27" s="3"/>
    </row>
    <row r="28" spans="2:6" ht="12.75">
      <c r="B28" s="3"/>
      <c r="E28" s="41"/>
      <c r="F28" s="3"/>
    </row>
    <row r="29" spans="2:6" ht="12.75">
      <c r="B29" s="3"/>
      <c r="E29" s="41"/>
      <c r="F29" s="3"/>
    </row>
    <row r="30" spans="2:6" ht="12.75">
      <c r="B30" s="3"/>
      <c r="E30" s="41"/>
      <c r="F30" s="3"/>
    </row>
    <row r="31" spans="2:6" ht="12.75">
      <c r="B31" s="3"/>
      <c r="E31" s="41"/>
      <c r="F31" s="3"/>
    </row>
    <row r="32" spans="2:6" ht="12.75">
      <c r="B32" s="3"/>
      <c r="E32" s="41"/>
      <c r="F32" s="3"/>
    </row>
    <row r="33" spans="2:6" ht="12.75">
      <c r="B33" s="3"/>
      <c r="E33" s="41"/>
      <c r="F33" s="3"/>
    </row>
    <row r="34" spans="2:6" ht="12.75">
      <c r="B34" s="3"/>
      <c r="E34" s="41"/>
      <c r="F34" s="3"/>
    </row>
    <row r="35" spans="2:6" ht="12.75">
      <c r="B35" s="3"/>
      <c r="E35" s="41"/>
      <c r="F35" s="3"/>
    </row>
    <row r="36" spans="2:6" ht="12.75">
      <c r="B36" s="3"/>
      <c r="E36" s="41"/>
      <c r="F36" s="3"/>
    </row>
    <row r="37" spans="2:6" ht="12.75">
      <c r="B37" s="3"/>
      <c r="E37" s="41"/>
      <c r="F37" s="3"/>
    </row>
    <row r="38" spans="2:6" ht="12.75">
      <c r="B38" s="3"/>
      <c r="E38" s="41"/>
      <c r="F38" s="3"/>
    </row>
    <row r="39" spans="2:6" ht="12.75">
      <c r="B39" s="3"/>
      <c r="E39" s="41"/>
      <c r="F39" s="3"/>
    </row>
    <row r="40" spans="2:6" ht="12.75">
      <c r="B40" s="3"/>
      <c r="E40" s="41"/>
      <c r="F40" s="3"/>
    </row>
    <row r="41" spans="2:6" ht="12.75">
      <c r="B41" s="3"/>
      <c r="E41" s="41"/>
      <c r="F41" s="3"/>
    </row>
    <row r="42" spans="2:6" ht="12.75">
      <c r="B42" s="3"/>
      <c r="E42" s="41"/>
      <c r="F42" s="3"/>
    </row>
    <row r="43" spans="2:6" ht="12.75">
      <c r="B43" s="3"/>
      <c r="E43" s="41"/>
      <c r="F43" s="3"/>
    </row>
    <row r="44" spans="2:6" ht="12.75">
      <c r="B44" s="3"/>
      <c r="E44" s="41"/>
      <c r="F44" s="3"/>
    </row>
    <row r="45" spans="2:6" ht="12.75">
      <c r="B45" s="3"/>
      <c r="E45" s="41"/>
      <c r="F45" s="3"/>
    </row>
    <row r="46" spans="2:6" ht="12.75">
      <c r="B46" s="3"/>
      <c r="E46" s="41"/>
      <c r="F46" s="3"/>
    </row>
    <row r="47" spans="2:6" ht="12.75">
      <c r="B47" s="3"/>
      <c r="E47" s="41"/>
      <c r="F47" s="3"/>
    </row>
    <row r="48" spans="2:6" ht="12.75">
      <c r="B48" s="3"/>
      <c r="E48" s="41"/>
      <c r="F48" s="3"/>
    </row>
    <row r="49" spans="2:6" ht="12.75">
      <c r="B49" s="3"/>
      <c r="E49" s="41"/>
      <c r="F49" s="3"/>
    </row>
    <row r="50" spans="2:6" ht="12.75">
      <c r="B50" s="3"/>
      <c r="E50" s="41"/>
      <c r="F50" s="3"/>
    </row>
    <row r="51" spans="2:6" ht="12.75">
      <c r="B51" s="3"/>
      <c r="E51" s="41"/>
      <c r="F51" s="3"/>
    </row>
    <row r="52" spans="2:6" ht="12.75">
      <c r="B52" s="3"/>
      <c r="E52" s="41"/>
      <c r="F52" s="3"/>
    </row>
    <row r="53" spans="2:6" ht="12.75">
      <c r="B53" s="3"/>
      <c r="E53" s="41"/>
      <c r="F53" s="3"/>
    </row>
    <row r="54" spans="2:6" ht="12.75">
      <c r="B54" s="3"/>
      <c r="E54" s="41"/>
      <c r="F54" s="3"/>
    </row>
    <row r="55" spans="2:6" ht="12.75">
      <c r="B55" s="3"/>
      <c r="E55" s="41"/>
      <c r="F55" s="3"/>
    </row>
    <row r="56" spans="2:6" ht="12.75">
      <c r="B56" s="3"/>
      <c r="E56" s="41"/>
      <c r="F56" s="3"/>
    </row>
    <row r="57" spans="2:6" ht="12.75">
      <c r="B57" s="3"/>
      <c r="E57" s="41"/>
      <c r="F57" s="3"/>
    </row>
    <row r="58" spans="2:6" ht="12.75">
      <c r="B58" s="3"/>
      <c r="E58" s="41"/>
      <c r="F58" s="3"/>
    </row>
    <row r="59" spans="2:6" ht="12.75">
      <c r="B59" s="3"/>
      <c r="E59" s="41"/>
      <c r="F59" s="3"/>
    </row>
    <row r="60" spans="2:6" ht="12.75">
      <c r="B60" s="3"/>
      <c r="E60" s="41"/>
      <c r="F60" s="3"/>
    </row>
    <row r="61" spans="2:6" ht="12.75">
      <c r="B61" s="3"/>
      <c r="E61" s="41"/>
      <c r="F61" s="3"/>
    </row>
    <row r="62" spans="2:6" ht="12.75">
      <c r="B62" s="3"/>
      <c r="E62" s="41"/>
      <c r="F62" s="3"/>
    </row>
    <row r="63" spans="2:6" ht="12.75">
      <c r="B63" s="3"/>
      <c r="E63" s="41"/>
      <c r="F63" s="3"/>
    </row>
    <row r="64" spans="2:6" ht="12.75">
      <c r="B64" s="3"/>
      <c r="E64" s="41"/>
      <c r="F64" s="3"/>
    </row>
    <row r="65" spans="2:6" ht="12.75">
      <c r="B65" s="3"/>
      <c r="E65" s="41"/>
      <c r="F65" s="3"/>
    </row>
    <row r="66" spans="2:6" ht="12.75">
      <c r="B66" s="3"/>
      <c r="E66" s="41"/>
      <c r="F66" s="3"/>
    </row>
    <row r="67" spans="2:6" ht="12.75">
      <c r="B67" s="3"/>
      <c r="E67" s="41"/>
      <c r="F67" s="3"/>
    </row>
    <row r="68" spans="2:6" ht="12.75">
      <c r="B68" s="3"/>
      <c r="E68" s="41"/>
      <c r="F68" s="3"/>
    </row>
    <row r="69" spans="2:6" ht="12.75">
      <c r="B69" s="3"/>
      <c r="E69" s="41"/>
      <c r="F69" s="3"/>
    </row>
    <row r="70" spans="2:6" ht="12.75">
      <c r="B70" s="3"/>
      <c r="E70" s="41"/>
      <c r="F70" s="3"/>
    </row>
    <row r="71" spans="2:6" ht="12.75">
      <c r="B71" s="3"/>
      <c r="E71" s="41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</sheetData>
  <sheetProtection/>
  <hyperlinks>
    <hyperlink ref="P25" r:id="rId1" display="http://www.bav-astro.de/sfs/BAVM_link.php?BAVMnr=171"/>
    <hyperlink ref="P26" r:id="rId2" display="http://vsolj.cetus-net.org/vsoljno51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