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8700" windowHeight="1447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<sst xmlns="http://schemas.openxmlformats.org/spreadsheetml/2006/main" count="181" uniqueCount="107">
  <si>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</si>
  <si>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</si>
  <si>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</si>
  <si>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</si>
  <si>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</si>
  <si>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</si>
  <si>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</si>
  <si>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</si>
  <si>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</si>
  <si>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</si>
  <si>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</si>
  <si>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</si>
  <si>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</si>
  <si>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</si>
  <si>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</si>
  <si>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</si>
  <si>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</si>
  <si>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</si>
  <si>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</si>
  <si>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</si>
  <si>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</si>
  <si>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</si>
  <si>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</si>
  <si>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</si>
  <si>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</si>
  <si>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</si>
  <si>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</si>
  <si>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</si>
  <si>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</si>
  <si>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</si>
  <si>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</si>
  <si>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</si>
  <si>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</si>
  <si>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</si>
  <si>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</si>
  <si>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</si>
  <si>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</si>
  <si>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GCVS</t>
  </si>
  <si>
    <t>BAD</t>
  </si>
  <si>
    <t>Add cycle</t>
  </si>
  <si>
    <t>Old Cycle</t>
  </si>
  <si>
    <t>GCVS 4</t>
  </si>
  <si>
    <t>DW Mon</t>
  </si>
  <si>
    <t>DW Mon / GSC 4804-2214</t>
  </si>
  <si>
    <t>EA/D</t>
  </si>
  <si>
    <t>Kreiner</t>
  </si>
  <si>
    <t>J.M. Kreiner, 2004, Acta Astronomica, vol. 54, pp 207-210.</t>
  </si>
  <si>
    <t>IBVS 5690</t>
  </si>
  <si>
    <t>I</t>
  </si>
  <si>
    <t>G4804-2214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</si>
  <si>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</si>
  <si>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</si>
  <si>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</si>
  <si>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</si>
  <si>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</si>
  <si>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</si>
  <si>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</si>
  <si>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</si>
  <si>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</si>
  <si>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</si>
  <si>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</si>
  <si>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</si>
  <si>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2425655.40 </t>
  </si>
  <si>
    <t> 12.02.1929 21:36 </t>
  </si>
  <si>
    <t> 0.07 </t>
  </si>
  <si>
    <t>P </t>
  </si>
  <si>
    <t> P.Ahnert </t>
  </si>
  <si>
    <t> VSS 1.343 </t>
  </si>
  <si>
    <t>2425969.50 </t>
  </si>
  <si>
    <t> 24.12.1929 00:00 </t>
  </si>
  <si>
    <t>2426308.56 </t>
  </si>
  <si>
    <t> 28.11.1930 01:26 </t>
  </si>
  <si>
    <t> 0.04 </t>
  </si>
  <si>
    <t>2426351.41 </t>
  </si>
  <si>
    <t> 09.01.1931 21:50 </t>
  </si>
  <si>
    <t> 0.06 </t>
  </si>
  <si>
    <t>2427097.36 </t>
  </si>
  <si>
    <t> 24.01.1933 20:38 </t>
  </si>
  <si>
    <t> 0.02 </t>
  </si>
  <si>
    <t>2427343.63 </t>
  </si>
  <si>
    <t> 28.09.1933 03:07 </t>
  </si>
  <si>
    <t> 0.00 </t>
  </si>
  <si>
    <t>2427368.63 </t>
  </si>
  <si>
    <t> 23.10.1933 03:07 </t>
  </si>
  <si>
    <t>2430734.47 </t>
  </si>
  <si>
    <t> 09.01.1943 23:16 </t>
  </si>
  <si>
    <t> -0.04 </t>
  </si>
  <si>
    <t>2430784.455 </t>
  </si>
  <si>
    <t> 28.02.1943 22:55 </t>
  </si>
  <si>
    <t> -0.026 </t>
  </si>
  <si>
    <t> A.A.Wachmann </t>
  </si>
  <si>
    <t> AHSB 7.8.396 </t>
  </si>
  <si>
    <t>2432947.503 </t>
  </si>
  <si>
    <t> 31.01.1949 00:04 </t>
  </si>
  <si>
    <t> -0.004 </t>
  </si>
  <si>
    <t>2435160.500 </t>
  </si>
  <si>
    <t> 22.02.1955 00:00 </t>
  </si>
  <si>
    <t>2435460.359 </t>
  </si>
  <si>
    <t> 18.12.1955 20:36 </t>
  </si>
  <si>
    <t> 0.030 </t>
  </si>
  <si>
    <t>2453385.715 </t>
  </si>
  <si>
    <t> 15.01.2005 05:09 </t>
  </si>
  <si>
    <t> 0.115 </t>
  </si>
  <si>
    <t>E </t>
  </si>
  <si>
    <t>?</t>
  </si>
  <si>
    <t> T. Krajci </t>
  </si>
  <si>
    <t>IBVS 5690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</si>
</sst>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0" fillId="0" borderId="11" xfId="0" applyFill="1" applyBorder="1" applyAlignment="1">
      <alignment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DW Mon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0.0004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3267152"/>
        <c:axId val="53860049"/>
      </c:scatterChart>
      <c:valAx>
        <c:axId val="43267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60049"/>
        <c:crosses val="autoZero"/>
        <c:crossBetween val="midCat"/>
        <c:dispUnits/>
      </c:valAx>
      <c:valAx>
        <c:axId val="53860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6715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89"/>
          <c:y val="0.934"/>
          <c:w val="0.756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0</xdr:rowOff>
    </xdr:from>
    <xdr:to>
      <xdr:col>17</xdr:col>
      <xdr:colOff>190500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1" t="s">
        <v>43</v>
      </c>
      <c r="E1" s="29" t="s">
        <v>42</v>
      </c>
      <c r="F1" t="s">
        <v>49</v>
      </c>
    </row>
    <row r="2" spans="1:5" ht="12.75">
      <c r="A2" t="s">
        <v>24</v>
      </c>
      <c r="B2" t="s">
        <v>44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25969.429</v>
      </c>
      <c r="D4" s="9">
        <v>3.5693492</v>
      </c>
    </row>
    <row r="5" spans="1:4" ht="13.5" thickTop="1">
      <c r="A5" s="11" t="s">
        <v>31</v>
      </c>
      <c r="B5" s="12"/>
      <c r="C5" s="13">
        <v>-9.5</v>
      </c>
      <c r="D5" s="12" t="s">
        <v>32</v>
      </c>
    </row>
    <row r="6" spans="1:4" ht="12.75">
      <c r="A6" s="5" t="s">
        <v>1</v>
      </c>
      <c r="D6" s="31" t="s">
        <v>46</v>
      </c>
    </row>
    <row r="7" spans="1:4" ht="12.75">
      <c r="A7" t="s">
        <v>2</v>
      </c>
      <c r="C7">
        <v>52500.507</v>
      </c>
      <c r="D7" s="30" t="s">
        <v>45</v>
      </c>
    </row>
    <row r="8" spans="1:4" ht="12.75">
      <c r="A8" t="s">
        <v>3</v>
      </c>
      <c r="C8">
        <v>3.56937</v>
      </c>
      <c r="D8" s="30" t="s">
        <v>45</v>
      </c>
    </row>
    <row r="9" spans="1:4" ht="12.75">
      <c r="A9" s="26" t="s">
        <v>36</v>
      </c>
      <c r="B9" s="27">
        <v>29</v>
      </c>
      <c r="C9" s="24" t="str">
        <f>"F"&amp;B9</f>
        <v>F29</v>
      </c>
      <c r="D9" s="25" t="str">
        <f>"G"&amp;B9</f>
        <v>G29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0.004315198168718075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1.0326278348567002E-06</v>
      </c>
      <c r="D12" s="3"/>
      <c r="E12" s="12"/>
    </row>
    <row r="13" spans="1:3" ht="12.75">
      <c r="A13" s="12" t="s">
        <v>19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53385.715331289866</v>
      </c>
      <c r="E15" s="16" t="s">
        <v>39</v>
      </c>
      <c r="F15" s="13">
        <v>1</v>
      </c>
    </row>
    <row r="16" spans="1:6" ht="12.75">
      <c r="A16" s="18" t="s">
        <v>4</v>
      </c>
      <c r="B16" s="12"/>
      <c r="C16" s="19">
        <f>+C8+C12</f>
        <v>3.569371032627835</v>
      </c>
      <c r="E16" s="16" t="s">
        <v>33</v>
      </c>
      <c r="F16" s="17">
        <f ca="1">NOW()+15018.5+$C$5/24</f>
        <v>59903.70971412037</v>
      </c>
    </row>
    <row r="17" spans="1:6" ht="13.5" thickBot="1">
      <c r="A17" s="16" t="s">
        <v>30</v>
      </c>
      <c r="B17" s="12"/>
      <c r="C17" s="12">
        <f>COUNT(C21:C2191)</f>
        <v>15</v>
      </c>
      <c r="E17" s="16" t="s">
        <v>40</v>
      </c>
      <c r="F17" s="17">
        <f>ROUND(2*(F16-$C$7)/$C$8,0)/2+F15</f>
        <v>2075</v>
      </c>
    </row>
    <row r="18" spans="1:6" ht="14.25" thickBot="1" thickTop="1">
      <c r="A18" s="18" t="s">
        <v>5</v>
      </c>
      <c r="B18" s="12"/>
      <c r="C18" s="21">
        <f>+C15</f>
        <v>53385.715331289866</v>
      </c>
      <c r="D18" s="22">
        <f>+C16</f>
        <v>3.569371032627835</v>
      </c>
      <c r="E18" s="16" t="s">
        <v>34</v>
      </c>
      <c r="F18" s="25">
        <f>ROUND(2*(F16-$C$15)/$C$16,0)/2+F15</f>
        <v>1827</v>
      </c>
    </row>
    <row r="19" spans="5:6" ht="13.5" thickTop="1">
      <c r="E19" s="16" t="s">
        <v>35</v>
      </c>
      <c r="F19" s="20">
        <f>+$C$15+$C$16*F18-15018.5-$C$5/24</f>
        <v>44888.852041234255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8" t="s">
        <v>38</v>
      </c>
    </row>
    <row r="21" spans="1:17" ht="12.75">
      <c r="A21" s="47" t="s">
        <v>67</v>
      </c>
      <c r="B21" s="49" t="s">
        <v>48</v>
      </c>
      <c r="C21" s="48">
        <v>25655.4</v>
      </c>
      <c r="D21" s="10"/>
      <c r="E21">
        <f aca="true" t="shared" si="0" ref="E21:E35">+(C21-C$7)/C$8</f>
        <v>-7520.965044251505</v>
      </c>
      <c r="F21">
        <f aca="true" t="shared" si="1" ref="F21:F35">ROUND(2*E21,0)/2</f>
        <v>-7521</v>
      </c>
      <c r="G21">
        <f aca="true" t="shared" si="2" ref="G21:G35">+C21-(C$7+F21*C$8)</f>
        <v>0.12477000000581029</v>
      </c>
      <c r="K21">
        <f>+G21</f>
        <v>0.12477000000581029</v>
      </c>
      <c r="O21">
        <f aca="true" t="shared" si="3" ref="O21:O35">+C$11+C$12*$F21</f>
        <v>-0.003451195777239167</v>
      </c>
      <c r="Q21" s="2">
        <f aca="true" t="shared" si="4" ref="Q21:Q35">+C21-15018.5</f>
        <v>10636.900000000001</v>
      </c>
    </row>
    <row r="22" spans="1:17" ht="12.75">
      <c r="A22" s="30" t="s">
        <v>41</v>
      </c>
      <c r="C22" s="10">
        <v>25969.429</v>
      </c>
      <c r="D22" s="10" t="s">
        <v>13</v>
      </c>
      <c r="E22">
        <f t="shared" si="0"/>
        <v>-7432.986213253318</v>
      </c>
      <c r="F22">
        <f t="shared" si="1"/>
        <v>-7433</v>
      </c>
      <c r="G22">
        <f t="shared" si="2"/>
        <v>0.04921000000467757</v>
      </c>
      <c r="H22">
        <f>+G22</f>
        <v>0.04921000000467757</v>
      </c>
      <c r="O22">
        <f t="shared" si="3"/>
        <v>-0.0033603245277717773</v>
      </c>
      <c r="Q22" s="2">
        <f t="shared" si="4"/>
        <v>10950.929</v>
      </c>
    </row>
    <row r="23" spans="1:17" ht="12.75">
      <c r="A23" s="47" t="s">
        <v>67</v>
      </c>
      <c r="B23" s="49" t="s">
        <v>48</v>
      </c>
      <c r="C23" s="48">
        <v>25969.5</v>
      </c>
      <c r="D23" s="10"/>
      <c r="E23">
        <f t="shared" si="0"/>
        <v>-7432.966321787878</v>
      </c>
      <c r="F23">
        <f t="shared" si="1"/>
        <v>-7433</v>
      </c>
      <c r="G23">
        <f t="shared" si="2"/>
        <v>0.12021000000459026</v>
      </c>
      <c r="K23">
        <f aca="true" t="shared" si="5" ref="K23:K33">+G23</f>
        <v>0.12021000000459026</v>
      </c>
      <c r="O23">
        <f t="shared" si="3"/>
        <v>-0.0033603245277717773</v>
      </c>
      <c r="Q23" s="2">
        <f t="shared" si="4"/>
        <v>10951</v>
      </c>
    </row>
    <row r="24" spans="1:17" ht="12.75">
      <c r="A24" s="47" t="s">
        <v>67</v>
      </c>
      <c r="B24" s="49" t="s">
        <v>48</v>
      </c>
      <c r="C24" s="48">
        <v>26308.56</v>
      </c>
      <c r="D24" s="10"/>
      <c r="E24">
        <f t="shared" si="0"/>
        <v>-7337.9747686566525</v>
      </c>
      <c r="F24">
        <f t="shared" si="1"/>
        <v>-7338</v>
      </c>
      <c r="G24">
        <f t="shared" si="2"/>
        <v>0.09006000000590575</v>
      </c>
      <c r="K24">
        <f t="shared" si="5"/>
        <v>0.09006000000590575</v>
      </c>
      <c r="O24">
        <f t="shared" si="3"/>
        <v>-0.003262224883460391</v>
      </c>
      <c r="Q24" s="2">
        <f t="shared" si="4"/>
        <v>11290.060000000001</v>
      </c>
    </row>
    <row r="25" spans="1:17" ht="12.75">
      <c r="A25" s="47" t="s">
        <v>67</v>
      </c>
      <c r="B25" s="49" t="s">
        <v>48</v>
      </c>
      <c r="C25" s="48">
        <v>26351.41</v>
      </c>
      <c r="D25" s="10"/>
      <c r="E25">
        <f t="shared" si="0"/>
        <v>-7325.969849020975</v>
      </c>
      <c r="F25">
        <f t="shared" si="1"/>
        <v>-7326</v>
      </c>
      <c r="G25">
        <f t="shared" si="2"/>
        <v>0.10762000000249827</v>
      </c>
      <c r="K25">
        <f t="shared" si="5"/>
        <v>0.10762000000249827</v>
      </c>
      <c r="O25">
        <f t="shared" si="3"/>
        <v>-0.0032498333494421104</v>
      </c>
      <c r="Q25" s="2">
        <f t="shared" si="4"/>
        <v>11332.91</v>
      </c>
    </row>
    <row r="26" spans="1:17" ht="12.75">
      <c r="A26" s="47" t="s">
        <v>67</v>
      </c>
      <c r="B26" s="49" t="s">
        <v>48</v>
      </c>
      <c r="C26" s="48">
        <v>27097.36</v>
      </c>
      <c r="D26" s="10"/>
      <c r="E26">
        <f t="shared" si="0"/>
        <v>-7116.983389225548</v>
      </c>
      <c r="F26">
        <f t="shared" si="1"/>
        <v>-7117</v>
      </c>
      <c r="G26">
        <f t="shared" si="2"/>
        <v>0.059290000004693866</v>
      </c>
      <c r="K26">
        <f t="shared" si="5"/>
        <v>0.059290000004693866</v>
      </c>
      <c r="O26">
        <f t="shared" si="3"/>
        <v>-0.0030340141319570597</v>
      </c>
      <c r="Q26" s="2">
        <f t="shared" si="4"/>
        <v>12078.86</v>
      </c>
    </row>
    <row r="27" spans="1:17" ht="12.75">
      <c r="A27" s="47" t="s">
        <v>67</v>
      </c>
      <c r="B27" s="49" t="s">
        <v>48</v>
      </c>
      <c r="C27" s="48">
        <v>27343.63</v>
      </c>
      <c r="D27" s="10"/>
      <c r="E27">
        <f t="shared" si="0"/>
        <v>-7047.988020294897</v>
      </c>
      <c r="F27">
        <f t="shared" si="1"/>
        <v>-7048</v>
      </c>
      <c r="G27">
        <f t="shared" si="2"/>
        <v>0.042760000003909227</v>
      </c>
      <c r="K27">
        <f t="shared" si="5"/>
        <v>0.042760000003909227</v>
      </c>
      <c r="O27">
        <f t="shared" si="3"/>
        <v>-0.0029627628113519473</v>
      </c>
      <c r="Q27" s="2">
        <f t="shared" si="4"/>
        <v>12325.130000000001</v>
      </c>
    </row>
    <row r="28" spans="1:17" ht="12.75">
      <c r="A28" s="47" t="s">
        <v>67</v>
      </c>
      <c r="B28" s="49" t="s">
        <v>48</v>
      </c>
      <c r="C28" s="48">
        <v>27368.63</v>
      </c>
      <c r="D28" s="10"/>
      <c r="E28">
        <f t="shared" si="0"/>
        <v>-7040.983983167896</v>
      </c>
      <c r="F28">
        <f t="shared" si="1"/>
        <v>-7041</v>
      </c>
      <c r="G28">
        <f t="shared" si="2"/>
        <v>0.05717000000367989</v>
      </c>
      <c r="K28">
        <f t="shared" si="5"/>
        <v>0.05717000000367989</v>
      </c>
      <c r="O28">
        <f t="shared" si="3"/>
        <v>-0.0029555344165079506</v>
      </c>
      <c r="Q28" s="2">
        <f t="shared" si="4"/>
        <v>12350.130000000001</v>
      </c>
    </row>
    <row r="29" spans="1:17" ht="12.75">
      <c r="A29" s="47" t="s">
        <v>67</v>
      </c>
      <c r="B29" s="49" t="s">
        <v>48</v>
      </c>
      <c r="C29" s="48">
        <v>30734.47</v>
      </c>
      <c r="D29" s="10"/>
      <c r="E29">
        <f t="shared" si="0"/>
        <v>-6098.005250226229</v>
      </c>
      <c r="F29">
        <f t="shared" si="1"/>
        <v>-6098</v>
      </c>
      <c r="G29">
        <f t="shared" si="2"/>
        <v>-0.018739999995887047</v>
      </c>
      <c r="K29">
        <f t="shared" si="5"/>
        <v>-0.018739999995887047</v>
      </c>
      <c r="O29">
        <f t="shared" si="3"/>
        <v>-0.0019817663682380826</v>
      </c>
      <c r="Q29" s="2">
        <f t="shared" si="4"/>
        <v>15715.970000000001</v>
      </c>
    </row>
    <row r="30" spans="1:17" ht="12.75">
      <c r="A30" s="47" t="s">
        <v>91</v>
      </c>
      <c r="B30" s="49" t="s">
        <v>48</v>
      </c>
      <c r="C30" s="48">
        <v>30784.455</v>
      </c>
      <c r="D30" s="10"/>
      <c r="E30">
        <f t="shared" si="0"/>
        <v>-6084.001378394505</v>
      </c>
      <c r="F30">
        <f t="shared" si="1"/>
        <v>-6084</v>
      </c>
      <c r="G30">
        <f t="shared" si="2"/>
        <v>-0.0049199999957636464</v>
      </c>
      <c r="K30">
        <f t="shared" si="5"/>
        <v>-0.0049199999957636464</v>
      </c>
      <c r="O30">
        <f t="shared" si="3"/>
        <v>-0.0019673095785500885</v>
      </c>
      <c r="Q30" s="2">
        <f t="shared" si="4"/>
        <v>15765.955000000002</v>
      </c>
    </row>
    <row r="31" spans="1:17" ht="12.75">
      <c r="A31" s="47" t="s">
        <v>91</v>
      </c>
      <c r="B31" s="49" t="s">
        <v>48</v>
      </c>
      <c r="C31" s="48">
        <v>32947.503</v>
      </c>
      <c r="D31" s="10"/>
      <c r="E31">
        <f t="shared" si="0"/>
        <v>-5477.9986384151825</v>
      </c>
      <c r="F31">
        <f t="shared" si="1"/>
        <v>-5478</v>
      </c>
      <c r="G31">
        <f t="shared" si="2"/>
        <v>0.004860000000917353</v>
      </c>
      <c r="K31">
        <f t="shared" si="5"/>
        <v>0.004860000000917353</v>
      </c>
      <c r="O31">
        <f t="shared" si="3"/>
        <v>-0.001341537110626928</v>
      </c>
      <c r="Q31" s="2">
        <f t="shared" si="4"/>
        <v>17929.002999999997</v>
      </c>
    </row>
    <row r="32" spans="1:17" ht="12.75">
      <c r="A32" s="47" t="s">
        <v>91</v>
      </c>
      <c r="B32" s="49" t="s">
        <v>48</v>
      </c>
      <c r="C32" s="48">
        <v>35160.5</v>
      </c>
      <c r="D32" s="10"/>
      <c r="E32">
        <f t="shared" si="0"/>
        <v>-4858.002112417596</v>
      </c>
      <c r="F32">
        <f t="shared" si="1"/>
        <v>-4858</v>
      </c>
      <c r="G32">
        <f t="shared" si="2"/>
        <v>-0.007539999998698477</v>
      </c>
      <c r="K32">
        <f t="shared" si="5"/>
        <v>-0.007539999998698477</v>
      </c>
      <c r="O32">
        <f t="shared" si="3"/>
        <v>-0.0007013078530157743</v>
      </c>
      <c r="Q32" s="2">
        <f t="shared" si="4"/>
        <v>20142</v>
      </c>
    </row>
    <row r="33" spans="1:17" ht="12.75">
      <c r="A33" s="47" t="s">
        <v>91</v>
      </c>
      <c r="B33" s="49" t="s">
        <v>48</v>
      </c>
      <c r="C33" s="48">
        <v>35460.359</v>
      </c>
      <c r="D33" s="10"/>
      <c r="E33">
        <f t="shared" si="0"/>
        <v>-4773.993169662994</v>
      </c>
      <c r="F33">
        <f t="shared" si="1"/>
        <v>-4774</v>
      </c>
      <c r="G33">
        <f t="shared" si="2"/>
        <v>0.024380000002565794</v>
      </c>
      <c r="K33">
        <f t="shared" si="5"/>
        <v>0.024380000002565794</v>
      </c>
      <c r="O33">
        <f t="shared" si="3"/>
        <v>-0.000614567114887811</v>
      </c>
      <c r="Q33" s="2">
        <f t="shared" si="4"/>
        <v>20441.858999999997</v>
      </c>
    </row>
    <row r="34" spans="1:17" ht="12.75">
      <c r="A34" s="30" t="s">
        <v>45</v>
      </c>
      <c r="C34" s="10">
        <v>52500.507</v>
      </c>
      <c r="E34">
        <f t="shared" si="0"/>
        <v>0</v>
      </c>
      <c r="F34">
        <f t="shared" si="1"/>
        <v>0</v>
      </c>
      <c r="G34">
        <f t="shared" si="2"/>
        <v>0</v>
      </c>
      <c r="H34">
        <f>+G34</f>
        <v>0</v>
      </c>
      <c r="O34">
        <f t="shared" si="3"/>
        <v>0.004315198168718075</v>
      </c>
      <c r="Q34" s="2">
        <f t="shared" si="4"/>
        <v>37482.007</v>
      </c>
    </row>
    <row r="35" spans="1:17" ht="12.75">
      <c r="A35" s="32" t="s">
        <v>47</v>
      </c>
      <c r="B35" s="33" t="s">
        <v>48</v>
      </c>
      <c r="C35" s="32">
        <v>53385.715</v>
      </c>
      <c r="D35" s="32">
        <v>0.0004</v>
      </c>
      <c r="E35">
        <f t="shared" si="0"/>
        <v>248.00118788469638</v>
      </c>
      <c r="F35">
        <f t="shared" si="1"/>
        <v>248</v>
      </c>
      <c r="G35">
        <f t="shared" si="2"/>
        <v>0.004240000002027955</v>
      </c>
      <c r="I35">
        <f>+G35</f>
        <v>0.004240000002027955</v>
      </c>
      <c r="O35">
        <f t="shared" si="3"/>
        <v>0.004571289871762537</v>
      </c>
      <c r="Q35" s="2">
        <f t="shared" si="4"/>
        <v>38367.215</v>
      </c>
    </row>
    <row r="36" spans="2:4" ht="12.75">
      <c r="B36" s="3"/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5"/>
  <sheetViews>
    <sheetView zoomScalePageLayoutView="0" workbookViewId="0" topLeftCell="A1">
      <selection activeCell="A12" sqref="A12:C23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4" t="s">
        <v>50</v>
      </c>
      <c r="I1" s="35" t="s">
        <v>51</v>
      </c>
      <c r="J1" s="36" t="s">
        <v>52</v>
      </c>
    </row>
    <row r="2" spans="9:10" ht="12.75">
      <c r="I2" s="37" t="s">
        <v>53</v>
      </c>
      <c r="J2" s="38" t="s">
        <v>54</v>
      </c>
    </row>
    <row r="3" spans="1:10" ht="12.75">
      <c r="A3" s="39" t="s">
        <v>55</v>
      </c>
      <c r="I3" s="37" t="s">
        <v>56</v>
      </c>
      <c r="J3" s="38" t="s">
        <v>57</v>
      </c>
    </row>
    <row r="4" spans="9:10" ht="12.75">
      <c r="I4" s="37" t="s">
        <v>58</v>
      </c>
      <c r="J4" s="38" t="s">
        <v>57</v>
      </c>
    </row>
    <row r="5" spans="9:10" ht="13.5" thickBot="1">
      <c r="I5" s="40" t="s">
        <v>59</v>
      </c>
      <c r="J5" s="41" t="s">
        <v>60</v>
      </c>
    </row>
    <row r="10" ht="13.5" thickBot="1"/>
    <row r="11" spans="1:16" ht="12.75" customHeight="1" thickBot="1">
      <c r="A11" s="10" t="str">
        <f aca="true" t="shared" si="0" ref="A11:A23">P11</f>
        <v>IBVS 5690 </v>
      </c>
      <c r="B11" s="3" t="str">
        <f aca="true" t="shared" si="1" ref="B11:B23">IF(H11=INT(H11),"I","II")</f>
        <v>I</v>
      </c>
      <c r="C11" s="10">
        <f aca="true" t="shared" si="2" ref="C11:C23">1*G11</f>
        <v>53385.715</v>
      </c>
      <c r="D11" s="12" t="str">
        <f aca="true" t="shared" si="3" ref="D11:D23">VLOOKUP(F11,I$1:J$5,2,FALSE)</f>
        <v>vis</v>
      </c>
      <c r="E11" s="42">
        <f>VLOOKUP(C11,A!C$21:E$973,3,FALSE)</f>
        <v>248.00118788469638</v>
      </c>
      <c r="F11" s="3" t="s">
        <v>59</v>
      </c>
      <c r="G11" s="12" t="str">
        <f aca="true" t="shared" si="4" ref="G11:G23">MID(I11,3,LEN(I11)-3)</f>
        <v>53385.715</v>
      </c>
      <c r="H11" s="10">
        <f aca="true" t="shared" si="5" ref="H11:H23">1*K11</f>
        <v>7681</v>
      </c>
      <c r="I11" s="43" t="s">
        <v>100</v>
      </c>
      <c r="J11" s="44" t="s">
        <v>101</v>
      </c>
      <c r="K11" s="43">
        <v>7681</v>
      </c>
      <c r="L11" s="43" t="s">
        <v>102</v>
      </c>
      <c r="M11" s="44" t="s">
        <v>103</v>
      </c>
      <c r="N11" s="44" t="s">
        <v>104</v>
      </c>
      <c r="O11" s="45" t="s">
        <v>105</v>
      </c>
      <c r="P11" s="46" t="s">
        <v>106</v>
      </c>
    </row>
    <row r="12" spans="1:16" ht="12.75" customHeight="1" thickBot="1">
      <c r="A12" s="10" t="str">
        <f t="shared" si="0"/>
        <v> VSS 1.343 </v>
      </c>
      <c r="B12" s="3" t="str">
        <f t="shared" si="1"/>
        <v>I</v>
      </c>
      <c r="C12" s="10">
        <f t="shared" si="2"/>
        <v>25655.4</v>
      </c>
      <c r="D12" s="12" t="str">
        <f t="shared" si="3"/>
        <v>vis</v>
      </c>
      <c r="E12" s="42">
        <f>VLOOKUP(C12,A!C$21:E$973,3,FALSE)</f>
        <v>-7520.965044251505</v>
      </c>
      <c r="F12" s="3" t="s">
        <v>59</v>
      </c>
      <c r="G12" s="12" t="str">
        <f t="shared" si="4"/>
        <v>25655.40</v>
      </c>
      <c r="H12" s="10">
        <f t="shared" si="5"/>
        <v>-88</v>
      </c>
      <c r="I12" s="43" t="s">
        <v>62</v>
      </c>
      <c r="J12" s="44" t="s">
        <v>63</v>
      </c>
      <c r="K12" s="43">
        <v>-88</v>
      </c>
      <c r="L12" s="43" t="s">
        <v>64</v>
      </c>
      <c r="M12" s="44" t="s">
        <v>65</v>
      </c>
      <c r="N12" s="44"/>
      <c r="O12" s="45" t="s">
        <v>66</v>
      </c>
      <c r="P12" s="45" t="s">
        <v>67</v>
      </c>
    </row>
    <row r="13" spans="1:16" ht="12.75" customHeight="1" thickBot="1">
      <c r="A13" s="10" t="str">
        <f t="shared" si="0"/>
        <v> VSS 1.343 </v>
      </c>
      <c r="B13" s="3" t="str">
        <f t="shared" si="1"/>
        <v>I</v>
      </c>
      <c r="C13" s="10">
        <f t="shared" si="2"/>
        <v>25969.5</v>
      </c>
      <c r="D13" s="12" t="str">
        <f t="shared" si="3"/>
        <v>vis</v>
      </c>
      <c r="E13" s="42">
        <f>VLOOKUP(C13,A!C$21:E$973,3,FALSE)</f>
        <v>-7432.966321787878</v>
      </c>
      <c r="F13" s="3" t="s">
        <v>59</v>
      </c>
      <c r="G13" s="12" t="str">
        <f t="shared" si="4"/>
        <v>25969.50</v>
      </c>
      <c r="H13" s="10">
        <f t="shared" si="5"/>
        <v>0</v>
      </c>
      <c r="I13" s="43" t="s">
        <v>68</v>
      </c>
      <c r="J13" s="44" t="s">
        <v>69</v>
      </c>
      <c r="K13" s="43">
        <v>0</v>
      </c>
      <c r="L13" s="43" t="s">
        <v>64</v>
      </c>
      <c r="M13" s="44" t="s">
        <v>65</v>
      </c>
      <c r="N13" s="44"/>
      <c r="O13" s="45" t="s">
        <v>66</v>
      </c>
      <c r="P13" s="45" t="s">
        <v>67</v>
      </c>
    </row>
    <row r="14" spans="1:16" ht="12.75" customHeight="1" thickBot="1">
      <c r="A14" s="10" t="str">
        <f t="shared" si="0"/>
        <v> VSS 1.343 </v>
      </c>
      <c r="B14" s="3" t="str">
        <f t="shared" si="1"/>
        <v>I</v>
      </c>
      <c r="C14" s="10">
        <f t="shared" si="2"/>
        <v>26308.56</v>
      </c>
      <c r="D14" s="12" t="str">
        <f t="shared" si="3"/>
        <v>vis</v>
      </c>
      <c r="E14" s="42">
        <f>VLOOKUP(C14,A!C$21:E$973,3,FALSE)</f>
        <v>-7337.9747686566525</v>
      </c>
      <c r="F14" s="3" t="s">
        <v>59</v>
      </c>
      <c r="G14" s="12" t="str">
        <f t="shared" si="4"/>
        <v>26308.56</v>
      </c>
      <c r="H14" s="10">
        <f t="shared" si="5"/>
        <v>95</v>
      </c>
      <c r="I14" s="43" t="s">
        <v>70</v>
      </c>
      <c r="J14" s="44" t="s">
        <v>71</v>
      </c>
      <c r="K14" s="43">
        <v>95</v>
      </c>
      <c r="L14" s="43" t="s">
        <v>72</v>
      </c>
      <c r="M14" s="44" t="s">
        <v>65</v>
      </c>
      <c r="N14" s="44"/>
      <c r="O14" s="45" t="s">
        <v>66</v>
      </c>
      <c r="P14" s="45" t="s">
        <v>67</v>
      </c>
    </row>
    <row r="15" spans="1:16" ht="12.75" customHeight="1" thickBot="1">
      <c r="A15" s="10" t="str">
        <f t="shared" si="0"/>
        <v> VSS 1.343 </v>
      </c>
      <c r="B15" s="3" t="str">
        <f t="shared" si="1"/>
        <v>I</v>
      </c>
      <c r="C15" s="10">
        <f t="shared" si="2"/>
        <v>26351.41</v>
      </c>
      <c r="D15" s="12" t="str">
        <f t="shared" si="3"/>
        <v>vis</v>
      </c>
      <c r="E15" s="42">
        <f>VLOOKUP(C15,A!C$21:E$973,3,FALSE)</f>
        <v>-7325.969849020975</v>
      </c>
      <c r="F15" s="3" t="s">
        <v>59</v>
      </c>
      <c r="G15" s="12" t="str">
        <f t="shared" si="4"/>
        <v>26351.41</v>
      </c>
      <c r="H15" s="10">
        <f t="shared" si="5"/>
        <v>107</v>
      </c>
      <c r="I15" s="43" t="s">
        <v>73</v>
      </c>
      <c r="J15" s="44" t="s">
        <v>74</v>
      </c>
      <c r="K15" s="43">
        <v>107</v>
      </c>
      <c r="L15" s="43" t="s">
        <v>75</v>
      </c>
      <c r="M15" s="44" t="s">
        <v>65</v>
      </c>
      <c r="N15" s="44"/>
      <c r="O15" s="45" t="s">
        <v>66</v>
      </c>
      <c r="P15" s="45" t="s">
        <v>67</v>
      </c>
    </row>
    <row r="16" spans="1:16" ht="12.75" customHeight="1" thickBot="1">
      <c r="A16" s="10" t="str">
        <f t="shared" si="0"/>
        <v> VSS 1.343 </v>
      </c>
      <c r="B16" s="3" t="str">
        <f t="shared" si="1"/>
        <v>I</v>
      </c>
      <c r="C16" s="10">
        <f t="shared" si="2"/>
        <v>27097.36</v>
      </c>
      <c r="D16" s="12" t="str">
        <f t="shared" si="3"/>
        <v>vis</v>
      </c>
      <c r="E16" s="42">
        <f>VLOOKUP(C16,A!C$21:E$973,3,FALSE)</f>
        <v>-7116.983389225548</v>
      </c>
      <c r="F16" s="3" t="s">
        <v>59</v>
      </c>
      <c r="G16" s="12" t="str">
        <f t="shared" si="4"/>
        <v>27097.36</v>
      </c>
      <c r="H16" s="10">
        <f t="shared" si="5"/>
        <v>316</v>
      </c>
      <c r="I16" s="43" t="s">
        <v>76</v>
      </c>
      <c r="J16" s="44" t="s">
        <v>77</v>
      </c>
      <c r="K16" s="43">
        <v>316</v>
      </c>
      <c r="L16" s="43" t="s">
        <v>78</v>
      </c>
      <c r="M16" s="44" t="s">
        <v>65</v>
      </c>
      <c r="N16" s="44"/>
      <c r="O16" s="45" t="s">
        <v>66</v>
      </c>
      <c r="P16" s="45" t="s">
        <v>67</v>
      </c>
    </row>
    <row r="17" spans="1:16" ht="12.75" customHeight="1" thickBot="1">
      <c r="A17" s="10" t="str">
        <f t="shared" si="0"/>
        <v> VSS 1.343 </v>
      </c>
      <c r="B17" s="3" t="str">
        <f t="shared" si="1"/>
        <v>I</v>
      </c>
      <c r="C17" s="10">
        <f t="shared" si="2"/>
        <v>27343.63</v>
      </c>
      <c r="D17" s="12" t="str">
        <f t="shared" si="3"/>
        <v>vis</v>
      </c>
      <c r="E17" s="42">
        <f>VLOOKUP(C17,A!C$21:E$973,3,FALSE)</f>
        <v>-7047.988020294897</v>
      </c>
      <c r="F17" s="3" t="s">
        <v>59</v>
      </c>
      <c r="G17" s="12" t="str">
        <f t="shared" si="4"/>
        <v>27343.63</v>
      </c>
      <c r="H17" s="10">
        <f t="shared" si="5"/>
        <v>385</v>
      </c>
      <c r="I17" s="43" t="s">
        <v>79</v>
      </c>
      <c r="J17" s="44" t="s">
        <v>80</v>
      </c>
      <c r="K17" s="43">
        <v>385</v>
      </c>
      <c r="L17" s="43" t="s">
        <v>81</v>
      </c>
      <c r="M17" s="44" t="s">
        <v>65</v>
      </c>
      <c r="N17" s="44"/>
      <c r="O17" s="45" t="s">
        <v>66</v>
      </c>
      <c r="P17" s="45" t="s">
        <v>67</v>
      </c>
    </row>
    <row r="18" spans="1:16" ht="12.75" customHeight="1" thickBot="1">
      <c r="A18" s="10" t="str">
        <f t="shared" si="0"/>
        <v> VSS 1.343 </v>
      </c>
      <c r="B18" s="3" t="str">
        <f t="shared" si="1"/>
        <v>I</v>
      </c>
      <c r="C18" s="10">
        <f t="shared" si="2"/>
        <v>27368.63</v>
      </c>
      <c r="D18" s="12" t="str">
        <f t="shared" si="3"/>
        <v>vis</v>
      </c>
      <c r="E18" s="42">
        <f>VLOOKUP(C18,A!C$21:E$973,3,FALSE)</f>
        <v>-7040.983983167896</v>
      </c>
      <c r="F18" s="3" t="s">
        <v>59</v>
      </c>
      <c r="G18" s="12" t="str">
        <f t="shared" si="4"/>
        <v>27368.63</v>
      </c>
      <c r="H18" s="10">
        <f t="shared" si="5"/>
        <v>392</v>
      </c>
      <c r="I18" s="43" t="s">
        <v>82</v>
      </c>
      <c r="J18" s="44" t="s">
        <v>83</v>
      </c>
      <c r="K18" s="43">
        <v>392</v>
      </c>
      <c r="L18" s="43" t="s">
        <v>78</v>
      </c>
      <c r="M18" s="44" t="s">
        <v>65</v>
      </c>
      <c r="N18" s="44"/>
      <c r="O18" s="45" t="s">
        <v>66</v>
      </c>
      <c r="P18" s="45" t="s">
        <v>67</v>
      </c>
    </row>
    <row r="19" spans="1:16" ht="12.75" customHeight="1" thickBot="1">
      <c r="A19" s="10" t="str">
        <f t="shared" si="0"/>
        <v> VSS 1.343 </v>
      </c>
      <c r="B19" s="3" t="str">
        <f t="shared" si="1"/>
        <v>I</v>
      </c>
      <c r="C19" s="10">
        <f t="shared" si="2"/>
        <v>30734.47</v>
      </c>
      <c r="D19" s="12" t="str">
        <f t="shared" si="3"/>
        <v>vis</v>
      </c>
      <c r="E19" s="42">
        <f>VLOOKUP(C19,A!C$21:E$973,3,FALSE)</f>
        <v>-6098.005250226229</v>
      </c>
      <c r="F19" s="3" t="s">
        <v>59</v>
      </c>
      <c r="G19" s="12" t="str">
        <f t="shared" si="4"/>
        <v>30734.47</v>
      </c>
      <c r="H19" s="10">
        <f t="shared" si="5"/>
        <v>1335</v>
      </c>
      <c r="I19" s="43" t="s">
        <v>84</v>
      </c>
      <c r="J19" s="44" t="s">
        <v>85</v>
      </c>
      <c r="K19" s="43">
        <v>1335</v>
      </c>
      <c r="L19" s="43" t="s">
        <v>86</v>
      </c>
      <c r="M19" s="44" t="s">
        <v>65</v>
      </c>
      <c r="N19" s="44"/>
      <c r="O19" s="45" t="s">
        <v>66</v>
      </c>
      <c r="P19" s="45" t="s">
        <v>67</v>
      </c>
    </row>
    <row r="20" spans="1:16" ht="12.75" customHeight="1" thickBot="1">
      <c r="A20" s="10" t="str">
        <f t="shared" si="0"/>
        <v> AHSB 7.8.396 </v>
      </c>
      <c r="B20" s="3" t="str">
        <f t="shared" si="1"/>
        <v>I</v>
      </c>
      <c r="C20" s="10">
        <f t="shared" si="2"/>
        <v>30784.455</v>
      </c>
      <c r="D20" s="12" t="str">
        <f t="shared" si="3"/>
        <v>vis</v>
      </c>
      <c r="E20" s="42">
        <f>VLOOKUP(C20,A!C$21:E$973,3,FALSE)</f>
        <v>-6084.001378394505</v>
      </c>
      <c r="F20" s="3" t="s">
        <v>59</v>
      </c>
      <c r="G20" s="12" t="str">
        <f t="shared" si="4"/>
        <v>30784.455</v>
      </c>
      <c r="H20" s="10">
        <f t="shared" si="5"/>
        <v>1349</v>
      </c>
      <c r="I20" s="43" t="s">
        <v>87</v>
      </c>
      <c r="J20" s="44" t="s">
        <v>88</v>
      </c>
      <c r="K20" s="43">
        <v>1349</v>
      </c>
      <c r="L20" s="43" t="s">
        <v>89</v>
      </c>
      <c r="M20" s="44" t="s">
        <v>65</v>
      </c>
      <c r="N20" s="44"/>
      <c r="O20" s="45" t="s">
        <v>90</v>
      </c>
      <c r="P20" s="45" t="s">
        <v>91</v>
      </c>
    </row>
    <row r="21" spans="1:16" ht="12.75" customHeight="1" thickBot="1">
      <c r="A21" s="10" t="str">
        <f t="shared" si="0"/>
        <v> AHSB 7.8.396 </v>
      </c>
      <c r="B21" s="3" t="str">
        <f t="shared" si="1"/>
        <v>I</v>
      </c>
      <c r="C21" s="10">
        <f t="shared" si="2"/>
        <v>32947.503</v>
      </c>
      <c r="D21" s="12" t="str">
        <f t="shared" si="3"/>
        <v>vis</v>
      </c>
      <c r="E21" s="42">
        <f>VLOOKUP(C21,A!C$21:E$973,3,FALSE)</f>
        <v>-5477.9986384151825</v>
      </c>
      <c r="F21" s="3" t="s">
        <v>59</v>
      </c>
      <c r="G21" s="12" t="str">
        <f t="shared" si="4"/>
        <v>32947.503</v>
      </c>
      <c r="H21" s="10">
        <f t="shared" si="5"/>
        <v>1955</v>
      </c>
      <c r="I21" s="43" t="s">
        <v>92</v>
      </c>
      <c r="J21" s="44" t="s">
        <v>93</v>
      </c>
      <c r="K21" s="43">
        <v>1955</v>
      </c>
      <c r="L21" s="43" t="s">
        <v>94</v>
      </c>
      <c r="M21" s="44" t="s">
        <v>65</v>
      </c>
      <c r="N21" s="44"/>
      <c r="O21" s="45" t="s">
        <v>90</v>
      </c>
      <c r="P21" s="45" t="s">
        <v>91</v>
      </c>
    </row>
    <row r="22" spans="1:16" ht="12.75" customHeight="1" thickBot="1">
      <c r="A22" s="10" t="str">
        <f t="shared" si="0"/>
        <v> AHSB 7.8.396 </v>
      </c>
      <c r="B22" s="3" t="str">
        <f t="shared" si="1"/>
        <v>I</v>
      </c>
      <c r="C22" s="10">
        <f t="shared" si="2"/>
        <v>35160.5</v>
      </c>
      <c r="D22" s="12" t="str">
        <f t="shared" si="3"/>
        <v>vis</v>
      </c>
      <c r="E22" s="42">
        <f>VLOOKUP(C22,A!C$21:E$973,3,FALSE)</f>
        <v>-4858.002112417596</v>
      </c>
      <c r="F22" s="3" t="s">
        <v>59</v>
      </c>
      <c r="G22" s="12" t="str">
        <f t="shared" si="4"/>
        <v>35160.500</v>
      </c>
      <c r="H22" s="10">
        <f t="shared" si="5"/>
        <v>2575</v>
      </c>
      <c r="I22" s="43" t="s">
        <v>95</v>
      </c>
      <c r="J22" s="44" t="s">
        <v>96</v>
      </c>
      <c r="K22" s="43">
        <v>2575</v>
      </c>
      <c r="L22" s="43" t="s">
        <v>61</v>
      </c>
      <c r="M22" s="44" t="s">
        <v>65</v>
      </c>
      <c r="N22" s="44"/>
      <c r="O22" s="45" t="s">
        <v>90</v>
      </c>
      <c r="P22" s="45" t="s">
        <v>91</v>
      </c>
    </row>
    <row r="23" spans="1:16" ht="12.75" customHeight="1" thickBot="1">
      <c r="A23" s="10" t="str">
        <f t="shared" si="0"/>
        <v> AHSB 7.8.396 </v>
      </c>
      <c r="B23" s="3" t="str">
        <f t="shared" si="1"/>
        <v>I</v>
      </c>
      <c r="C23" s="10">
        <f t="shared" si="2"/>
        <v>35460.359</v>
      </c>
      <c r="D23" s="12" t="str">
        <f t="shared" si="3"/>
        <v>vis</v>
      </c>
      <c r="E23" s="42">
        <f>VLOOKUP(C23,A!C$21:E$973,3,FALSE)</f>
        <v>-4773.993169662994</v>
      </c>
      <c r="F23" s="3" t="s">
        <v>59</v>
      </c>
      <c r="G23" s="12" t="str">
        <f t="shared" si="4"/>
        <v>35460.359</v>
      </c>
      <c r="H23" s="10">
        <f t="shared" si="5"/>
        <v>2659</v>
      </c>
      <c r="I23" s="43" t="s">
        <v>97</v>
      </c>
      <c r="J23" s="44" t="s">
        <v>98</v>
      </c>
      <c r="K23" s="43">
        <v>2659</v>
      </c>
      <c r="L23" s="43" t="s">
        <v>99</v>
      </c>
      <c r="M23" s="44" t="s">
        <v>65</v>
      </c>
      <c r="N23" s="44"/>
      <c r="O23" s="45" t="s">
        <v>90</v>
      </c>
      <c r="P23" s="45" t="s">
        <v>91</v>
      </c>
    </row>
    <row r="24" spans="2:6" ht="12.75">
      <c r="B24" s="3"/>
      <c r="E24" s="42"/>
      <c r="F24" s="3"/>
    </row>
    <row r="25" spans="2:6" ht="12.75">
      <c r="B25" s="3"/>
      <c r="E25" s="42"/>
      <c r="F25" s="3"/>
    </row>
    <row r="26" spans="2:6" ht="12.75">
      <c r="B26" s="3"/>
      <c r="E26" s="42"/>
      <c r="F26" s="3"/>
    </row>
    <row r="27" spans="2:6" ht="12.75">
      <c r="B27" s="3"/>
      <c r="E27" s="42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</sheetData>
  <sheetProtection/>
  <hyperlinks>
    <hyperlink ref="P11" r:id="rId1" display="http://www.konkoly.hu/cgi-bin/IBVS?569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