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2760" windowWidth="8490" windowHeight="1336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<sst xmlns="http://schemas.openxmlformats.org/spreadsheetml/2006/main" count="133" uniqueCount="105">
  <si>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</si>
  <si>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</si>
  <si>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</si>
  <si>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</si>
  <si>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</si>
  <si>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</si>
  <si>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</si>
  <si>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</si>
  <si>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</si>
  <si>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</si>
  <si>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</si>
  <si>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</si>
  <si>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</si>
  <si>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</si>
  <si>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</si>
  <si>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</si>
  <si>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</si>
  <si>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</si>
  <si>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</si>
  <si>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</si>
  <si>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</si>
  <si>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</si>
  <si>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</si>
  <si>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</si>
  <si>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</si>
  <si>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</si>
  <si>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</si>
  <si>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</si>
  <si>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</si>
  <si>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</si>
  <si>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IBVS</t>
  </si>
  <si>
    <t># of data points:</t>
  </si>
  <si>
    <t>EA/SD</t>
  </si>
  <si>
    <t>O.Morgenroth AN 249.387</t>
  </si>
  <si>
    <t>S.Piotrowski AA 27.154</t>
  </si>
  <si>
    <t>K.Kordylewski SAC 18.62</t>
  </si>
  <si>
    <t>N.E.Kurochkin PZ 6.311</t>
  </si>
  <si>
    <t>K.Kordylewski AA 27.154</t>
  </si>
  <si>
    <t>ROTSE (noisy data)</t>
  </si>
  <si>
    <t>I</t>
  </si>
  <si>
    <t>R.Diethelm BBS 127</t>
  </si>
  <si>
    <t>FV Mon / gsc 0747-0915?</t>
  </si>
  <si>
    <t>IBVS 5690</t>
  </si>
  <si>
    <t>Krajci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</si>
  <si>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</si>
  <si>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</si>
  <si>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</si>
  <si>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</si>
  <si>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</si>
  <si>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</si>
  <si>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</si>
  <si>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</si>
  <si>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</si>
  <si>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</si>
  <si>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</si>
  <si>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2426355.351 </t>
  </si>
  <si>
    <t> 13.01.1931 20:25 </t>
  </si>
  <si>
    <t> -0.058 </t>
  </si>
  <si>
    <t>P </t>
  </si>
  <si>
    <t> O.Morgenroth </t>
  </si>
  <si>
    <t> AN 249.387 </t>
  </si>
  <si>
    <t>2426769.332 </t>
  </si>
  <si>
    <t> 02.03.1932 19:58 </t>
  </si>
  <si>
    <t> 0.389 </t>
  </si>
  <si>
    <t>2427453.24 </t>
  </si>
  <si>
    <t> 15.01.1934 17:45 </t>
  </si>
  <si>
    <t> 0.09 </t>
  </si>
  <si>
    <t>V </t>
  </si>
  <si>
    <t> S.Piotrowski </t>
  </si>
  <si>
    <t> AA 27.154 </t>
  </si>
  <si>
    <t>2428543.35 </t>
  </si>
  <si>
    <t> 09.01.1937 20:24 </t>
  </si>
  <si>
    <t> -0.03 </t>
  </si>
  <si>
    <t> K.Kordylewski </t>
  </si>
  <si>
    <t> SAC 18.62 </t>
  </si>
  <si>
    <t>2429310.30 </t>
  </si>
  <si>
    <t> 15.02.1939 19:12 </t>
  </si>
  <si>
    <t> 0.00 </t>
  </si>
  <si>
    <t> N.E.Kurochkin </t>
  </si>
  <si>
    <t> PZ 6.311 </t>
  </si>
  <si>
    <t>2429588.53 </t>
  </si>
  <si>
    <t> 21.11.1939 00:43 </t>
  </si>
  <si>
    <t> 0.04 </t>
  </si>
  <si>
    <t>2430468.27 </t>
  </si>
  <si>
    <t> 18.04.1942 18:28 </t>
  </si>
  <si>
    <t> 0.08 </t>
  </si>
  <si>
    <t>2452310.25 </t>
  </si>
  <si>
    <t> 04.02.2002 18:00 </t>
  </si>
  <si>
    <t> -0.06 </t>
  </si>
  <si>
    <t>E </t>
  </si>
  <si>
    <t>?</t>
  </si>
  <si>
    <t> R.Diethelm </t>
  </si>
  <si>
    <t> BBS 127 </t>
  </si>
  <si>
    <t>2453377.7700 </t>
  </si>
  <si>
    <t> 07.01.2005 06:28 </t>
  </si>
  <si>
    <t> -0.206 </t>
  </si>
  <si>
    <t> T. Krajci </t>
  </si>
  <si>
    <t>IBVS 5690 </t>
  </si>
  <si>
    <t>Add cycle</t>
  </si>
  <si>
    <t>JD today</t>
  </si>
  <si>
    <t>Old Cycle</t>
  </si>
  <si>
    <t>New Cycle</t>
  </si>
  <si>
    <t>Next ToM</t>
  </si>
  <si>
    <t>Local time</t>
  </si>
  <si>
    <t>My time zone &gt;&gt;&gt;&gt;&gt;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</si>
</sst>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1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1" fillId="33" borderId="17" xfId="54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FV Mon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9865361"/>
        <c:axId val="44570522"/>
      </c:scatterChart>
      <c:valAx>
        <c:axId val="1986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70522"/>
        <c:crosses val="autoZero"/>
        <c:crossBetween val="midCat"/>
        <c:dispUnits/>
      </c:valAx>
      <c:valAx>
        <c:axId val="44570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53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3075"/>
          <c:w val="0.759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57150</xdr:rowOff>
    </xdr:from>
    <xdr:to>
      <xdr:col>17</xdr:col>
      <xdr:colOff>666750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5943600" y="5715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23.0039062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" ht="20.25">
      <c r="A1" s="1" t="s">
        <v>41</v>
      </c>
      <c r="B1" s="1"/>
    </row>
    <row r="2" spans="1:2" ht="12.75">
      <c r="A2" t="s">
        <v>25</v>
      </c>
      <c r="B2" t="s">
        <v>32</v>
      </c>
    </row>
    <row r="3" ht="13.5" thickBot="1"/>
    <row r="4" spans="1:4" ht="14.25" thickBot="1" thickTop="1">
      <c r="A4" s="8" t="s">
        <v>0</v>
      </c>
      <c r="B4" s="8"/>
      <c r="C4" s="4">
        <v>28543.38</v>
      </c>
      <c r="D4" s="5">
        <v>7.5188</v>
      </c>
    </row>
    <row r="5" spans="1:3" ht="12.75">
      <c r="A5" s="3" t="s">
        <v>104</v>
      </c>
      <c r="C5" s="43">
        <v>-9.5</v>
      </c>
    </row>
    <row r="6" spans="1:2" ht="12.75">
      <c r="A6" s="8" t="s">
        <v>1</v>
      </c>
      <c r="B6" s="8"/>
    </row>
    <row r="7" spans="1:3" ht="12.75">
      <c r="A7" t="s">
        <v>2</v>
      </c>
      <c r="C7" s="15">
        <v>28543.38</v>
      </c>
    </row>
    <row r="8" spans="1:3" ht="12.75">
      <c r="A8" t="s">
        <v>3</v>
      </c>
      <c r="C8" s="16">
        <v>7.518765871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>
        <f>INTERCEPT(G21:G1007,F21:F1007)</f>
        <v>0.0642550871870643</v>
      </c>
      <c r="D11" s="6"/>
    </row>
    <row r="12" spans="1:6" ht="12.75">
      <c r="A12" t="s">
        <v>17</v>
      </c>
      <c r="C12">
        <f>SLOPE(G21:G1007,F21:F1007)</f>
        <v>-1.7052657620998945E-05</v>
      </c>
      <c r="D12" s="6"/>
      <c r="E12" s="36" t="s">
        <v>98</v>
      </c>
      <c r="F12" s="37">
        <v>1</v>
      </c>
    </row>
    <row r="13" spans="1:6" ht="12.75">
      <c r="A13" t="s">
        <v>19</v>
      </c>
      <c r="C13" s="6" t="s">
        <v>14</v>
      </c>
      <c r="D13" s="6"/>
      <c r="E13" s="36" t="s">
        <v>99</v>
      </c>
      <c r="F13" s="38">
        <f ca="1">NOW()+15018.5+$C$5/24</f>
        <v>59903.71259456018</v>
      </c>
    </row>
    <row r="14" spans="1:6" ht="12.75">
      <c r="A14" t="s">
        <v>24</v>
      </c>
      <c r="E14" s="36" t="s">
        <v>100</v>
      </c>
      <c r="F14" s="39">
        <f>ROUND(2*(F13-$C$7)/$C$8,0)/2+F12</f>
        <v>4172</v>
      </c>
    </row>
    <row r="15" spans="1:6" ht="12.75">
      <c r="A15" s="3" t="s">
        <v>18</v>
      </c>
      <c r="B15" s="3"/>
      <c r="C15" s="11">
        <f>(C7+C11)+(C8+C12)*INT(MAX(F21:F3532))</f>
        <v>53377.87160207206</v>
      </c>
      <c r="D15">
        <f>MAX(C21:C58)</f>
        <v>53377.77</v>
      </c>
      <c r="E15" s="36" t="s">
        <v>101</v>
      </c>
      <c r="F15" s="40">
        <f>ROUND(2*(F13-$C$15)/$C$16,0)/2+F12</f>
        <v>869</v>
      </c>
    </row>
    <row r="16" spans="1:6" ht="12.75">
      <c r="A16" s="8" t="s">
        <v>4</v>
      </c>
      <c r="B16" s="8"/>
      <c r="C16" s="12">
        <f>+C8+C12</f>
        <v>7.518748818342379</v>
      </c>
      <c r="D16">
        <f>+C$8+D$12+2*D$13*MAX(G21:G58)</f>
        <v>7.518765871</v>
      </c>
      <c r="E16" s="36" t="s">
        <v>102</v>
      </c>
      <c r="F16" s="41">
        <f>+$C$15+$C$16*F15-15018.5-$C$5/24</f>
        <v>44893.560158544926</v>
      </c>
    </row>
    <row r="17" spans="1:6" ht="13.5" thickBot="1">
      <c r="A17" s="13" t="s">
        <v>31</v>
      </c>
      <c r="C17">
        <f>COUNT(C21:C2190)</f>
        <v>11</v>
      </c>
      <c r="F17" s="42" t="s">
        <v>103</v>
      </c>
    </row>
    <row r="18" spans="1:4" ht="14.25" thickBot="1" thickTop="1">
      <c r="A18" s="8" t="s">
        <v>5</v>
      </c>
      <c r="B18" s="8"/>
      <c r="C18" s="4">
        <f>+C15</f>
        <v>53377.87160207206</v>
      </c>
      <c r="D18" s="5">
        <f>+C16</f>
        <v>7.518748818342379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30</v>
      </c>
      <c r="J20" s="10" t="s">
        <v>43</v>
      </c>
      <c r="K20" s="10" t="s">
        <v>26</v>
      </c>
      <c r="L20" s="10" t="s">
        <v>27</v>
      </c>
      <c r="M20" s="10" t="s">
        <v>28</v>
      </c>
      <c r="N20" s="10" t="s">
        <v>29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33</v>
      </c>
      <c r="B21" s="6"/>
      <c r="C21" s="17">
        <v>26355.351</v>
      </c>
      <c r="D21" s="17"/>
      <c r="E21">
        <f>+(C21-C$7)/C$8</f>
        <v>-291.0090615321944</v>
      </c>
      <c r="F21">
        <f>ROUND(2*E21,0)/2</f>
        <v>-291</v>
      </c>
      <c r="G21">
        <f>+C21-(C$7+F21*C$8)</f>
        <v>-0.068131539002934</v>
      </c>
      <c r="N21">
        <f>+G21</f>
        <v>-0.068131539002934</v>
      </c>
      <c r="O21">
        <f>+C$11+C$12*$F21</f>
        <v>0.06921741055477498</v>
      </c>
      <c r="Q21" s="2">
        <f>+C21-15018.5</f>
        <v>11336.850999999999</v>
      </c>
    </row>
    <row r="22" spans="1:17" ht="12.75">
      <c r="A22" s="18" t="s">
        <v>33</v>
      </c>
      <c r="B22" s="19"/>
      <c r="C22" s="20">
        <v>26769.332</v>
      </c>
      <c r="D22" s="17"/>
      <c r="E22">
        <f aca="true" t="shared" si="0" ref="E22:E30">+(C22-C$7)/C$8</f>
        <v>-235.94936063144803</v>
      </c>
      <c r="F22">
        <f aca="true" t="shared" si="1" ref="F22:F31">ROUND(2*E22,0)/2</f>
        <v>-236</v>
      </c>
      <c r="G22">
        <f aca="true" t="shared" si="2" ref="G22:G30">+C22-(C$7+F22*C$8)</f>
        <v>0.3807455559981463</v>
      </c>
      <c r="N22">
        <f>+G22</f>
        <v>0.3807455559981463</v>
      </c>
      <c r="O22">
        <f aca="true" t="shared" si="3" ref="O22:O30">+C$11+C$12*$F22</f>
        <v>0.06827951438562005</v>
      </c>
      <c r="Q22" s="2">
        <f aca="true" t="shared" si="4" ref="Q22:Q30">+C22-15018.5</f>
        <v>11750.831999999999</v>
      </c>
    </row>
    <row r="23" spans="1:17" ht="12.75">
      <c r="A23" t="s">
        <v>34</v>
      </c>
      <c r="B23" s="6"/>
      <c r="C23" s="17">
        <v>27453.24</v>
      </c>
      <c r="D23" s="17"/>
      <c r="E23">
        <f t="shared" si="0"/>
        <v>-144.98922013314535</v>
      </c>
      <c r="F23">
        <f t="shared" si="1"/>
        <v>-145</v>
      </c>
      <c r="G23">
        <f t="shared" si="2"/>
        <v>0.08105129500108887</v>
      </c>
      <c r="N23">
        <f>+G23</f>
        <v>0.08105129500108887</v>
      </c>
      <c r="O23">
        <f t="shared" si="3"/>
        <v>0.06672772254210914</v>
      </c>
      <c r="Q23" s="2">
        <f t="shared" si="4"/>
        <v>12434.740000000002</v>
      </c>
    </row>
    <row r="24" spans="1:17" ht="12.75">
      <c r="A24" t="s">
        <v>35</v>
      </c>
      <c r="B24" s="6"/>
      <c r="C24" s="17">
        <v>28543.35</v>
      </c>
      <c r="D24" s="17"/>
      <c r="E24">
        <f t="shared" si="0"/>
        <v>-0.00399001651563381</v>
      </c>
      <c r="F24">
        <f t="shared" si="1"/>
        <v>0</v>
      </c>
      <c r="G24">
        <f t="shared" si="2"/>
        <v>-0.030000000002473826</v>
      </c>
      <c r="N24">
        <f>+G24</f>
        <v>-0.030000000002473826</v>
      </c>
      <c r="O24">
        <f t="shared" si="3"/>
        <v>0.0642550871870643</v>
      </c>
      <c r="Q24" s="2">
        <f t="shared" si="4"/>
        <v>13524.849999999999</v>
      </c>
    </row>
    <row r="25" spans="1:17" ht="12.75">
      <c r="A25" t="s">
        <v>12</v>
      </c>
      <c r="B25" s="6"/>
      <c r="C25" s="17">
        <f>+C4</f>
        <v>28543.38</v>
      </c>
      <c r="D25" s="17" t="s">
        <v>14</v>
      </c>
      <c r="E25">
        <f t="shared" si="0"/>
        <v>0</v>
      </c>
      <c r="F25">
        <f t="shared" si="1"/>
        <v>0</v>
      </c>
      <c r="G25">
        <f t="shared" si="2"/>
        <v>0</v>
      </c>
      <c r="H25">
        <f>+G25</f>
        <v>0</v>
      </c>
      <c r="O25">
        <f t="shared" si="3"/>
        <v>0.0642550871870643</v>
      </c>
      <c r="Q25" s="2">
        <f t="shared" si="4"/>
        <v>13524.880000000001</v>
      </c>
    </row>
    <row r="26" spans="1:17" ht="12.75">
      <c r="A26" t="s">
        <v>36</v>
      </c>
      <c r="B26" s="6"/>
      <c r="C26" s="17">
        <v>29310.3</v>
      </c>
      <c r="D26" s="17"/>
      <c r="E26">
        <f t="shared" si="0"/>
        <v>102.0007821972514</v>
      </c>
      <c r="F26">
        <f t="shared" si="1"/>
        <v>102</v>
      </c>
      <c r="G26">
        <f t="shared" si="2"/>
        <v>0.005881157998373965</v>
      </c>
      <c r="N26">
        <f>+G26</f>
        <v>0.005881157998373965</v>
      </c>
      <c r="O26">
        <f t="shared" si="3"/>
        <v>0.06251571610972241</v>
      </c>
      <c r="Q26" s="2">
        <f t="shared" si="4"/>
        <v>14291.8</v>
      </c>
    </row>
    <row r="27" spans="1:17" ht="12.75">
      <c r="A27" t="s">
        <v>36</v>
      </c>
      <c r="B27" s="6"/>
      <c r="C27" s="17">
        <v>29588.53</v>
      </c>
      <c r="D27" s="17"/>
      <c r="E27">
        <f t="shared" si="0"/>
        <v>139.00552536569307</v>
      </c>
      <c r="F27">
        <f t="shared" si="1"/>
        <v>139</v>
      </c>
      <c r="G27">
        <f t="shared" si="2"/>
        <v>0.04154393099815934</v>
      </c>
      <c r="N27">
        <f>+G27</f>
        <v>0.04154393099815934</v>
      </c>
      <c r="O27">
        <f t="shared" si="3"/>
        <v>0.061884767777745445</v>
      </c>
      <c r="Q27" s="2">
        <f t="shared" si="4"/>
        <v>14570.029999999999</v>
      </c>
    </row>
    <row r="28" spans="1:17" ht="12.75">
      <c r="A28" t="s">
        <v>37</v>
      </c>
      <c r="B28" s="6"/>
      <c r="C28" s="17">
        <v>30468.27</v>
      </c>
      <c r="D28" s="17"/>
      <c r="E28">
        <f t="shared" si="0"/>
        <v>256.0114296715011</v>
      </c>
      <c r="F28">
        <f t="shared" si="1"/>
        <v>256</v>
      </c>
      <c r="G28">
        <f t="shared" si="2"/>
        <v>0.08593702399957692</v>
      </c>
      <c r="N28">
        <f>+G28</f>
        <v>0.08593702399957692</v>
      </c>
      <c r="O28">
        <f t="shared" si="3"/>
        <v>0.059889606836088564</v>
      </c>
      <c r="Q28" s="2">
        <f t="shared" si="4"/>
        <v>15449.77</v>
      </c>
    </row>
    <row r="29" spans="1:17" ht="12.75">
      <c r="A29" t="s">
        <v>38</v>
      </c>
      <c r="B29" s="6" t="s">
        <v>39</v>
      </c>
      <c r="C29" s="17">
        <v>51287.7403</v>
      </c>
      <c r="D29" s="17"/>
      <c r="E29">
        <f t="shared" si="0"/>
        <v>3025.0124409014193</v>
      </c>
      <c r="F29">
        <f t="shared" si="1"/>
        <v>3025</v>
      </c>
      <c r="G29">
        <f t="shared" si="2"/>
        <v>0.09354022499610437</v>
      </c>
      <c r="N29">
        <f>+G29</f>
        <v>0.09354022499610437</v>
      </c>
      <c r="O29">
        <f t="shared" si="3"/>
        <v>0.012670797883542487</v>
      </c>
      <c r="Q29" s="2">
        <f t="shared" si="4"/>
        <v>36269.2403</v>
      </c>
    </row>
    <row r="30" spans="1:17" ht="12.75">
      <c r="A30" t="s">
        <v>40</v>
      </c>
      <c r="B30" s="6"/>
      <c r="C30" s="17">
        <v>52310.25</v>
      </c>
      <c r="D30" s="17"/>
      <c r="E30">
        <f t="shared" si="0"/>
        <v>3161.006793903398</v>
      </c>
      <c r="F30">
        <f t="shared" si="1"/>
        <v>3161</v>
      </c>
      <c r="G30">
        <f t="shared" si="2"/>
        <v>0.05108176899375394</v>
      </c>
      <c r="N30">
        <f>+G30</f>
        <v>0.05108176899375394</v>
      </c>
      <c r="O30">
        <f t="shared" si="3"/>
        <v>0.010351636447086629</v>
      </c>
      <c r="Q30" s="2">
        <f t="shared" si="4"/>
        <v>37291.75</v>
      </c>
    </row>
    <row r="31" spans="1:17" ht="12.75">
      <c r="A31" t="s">
        <v>42</v>
      </c>
      <c r="B31" s="6" t="s">
        <v>39</v>
      </c>
      <c r="C31" s="21">
        <v>53377.77</v>
      </c>
      <c r="D31" s="21">
        <v>0.0004</v>
      </c>
      <c r="E31">
        <f>+(C31-C$7)/C$8</f>
        <v>3302.987541584003</v>
      </c>
      <c r="F31">
        <f t="shared" si="1"/>
        <v>3303</v>
      </c>
      <c r="G31">
        <f>+C31-(C$7+F31*C$8)</f>
        <v>-0.09367191300407285</v>
      </c>
      <c r="J31">
        <f>+G31</f>
        <v>-0.09367191300407285</v>
      </c>
      <c r="O31">
        <f>+C$11+C$12*$F31</f>
        <v>0.007930159064904782</v>
      </c>
      <c r="Q31" s="2">
        <f>+C31-15018.5</f>
        <v>38359.27</v>
      </c>
    </row>
    <row r="32" spans="3:17" ht="12.75">
      <c r="C32" s="14"/>
      <c r="D32" s="14"/>
      <c r="Q32" s="2"/>
    </row>
    <row r="33" spans="3:17" ht="12.75">
      <c r="C33" s="14"/>
      <c r="D33" s="14"/>
      <c r="Q33" s="2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1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4" customWidth="1"/>
    <col min="2" max="2" width="4.421875" style="23" customWidth="1"/>
    <col min="3" max="3" width="12.7109375" style="14" customWidth="1"/>
    <col min="4" max="4" width="5.421875" style="23" customWidth="1"/>
    <col min="5" max="5" width="14.8515625" style="23" customWidth="1"/>
    <col min="6" max="6" width="9.140625" style="23" customWidth="1"/>
    <col min="7" max="7" width="12.00390625" style="23" customWidth="1"/>
    <col min="8" max="8" width="14.140625" style="14" customWidth="1"/>
    <col min="9" max="9" width="22.57421875" style="23" customWidth="1"/>
    <col min="10" max="10" width="25.140625" style="23" customWidth="1"/>
    <col min="11" max="11" width="15.7109375" style="23" customWidth="1"/>
    <col min="12" max="12" width="14.140625" style="23" customWidth="1"/>
    <col min="13" max="13" width="9.57421875" style="23" customWidth="1"/>
    <col min="14" max="14" width="14.140625" style="23" customWidth="1"/>
    <col min="15" max="15" width="23.421875" style="23" customWidth="1"/>
    <col min="16" max="16" width="16.57421875" style="23" customWidth="1"/>
    <col min="17" max="17" width="41.00390625" style="23" customWidth="1"/>
    <col min="18" max="16384" width="9.140625" style="23" customWidth="1"/>
  </cols>
  <sheetData>
    <row r="1" spans="1:10" ht="15.75">
      <c r="A1" s="22" t="s">
        <v>44</v>
      </c>
      <c r="I1" s="24" t="s">
        <v>45</v>
      </c>
      <c r="J1" s="25" t="s">
        <v>46</v>
      </c>
    </row>
    <row r="2" spans="9:10" ht="12.75">
      <c r="I2" s="26" t="s">
        <v>47</v>
      </c>
      <c r="J2" s="27" t="s">
        <v>48</v>
      </c>
    </row>
    <row r="3" spans="1:10" ht="12.75">
      <c r="A3" s="28" t="s">
        <v>49</v>
      </c>
      <c r="I3" s="26" t="s">
        <v>50</v>
      </c>
      <c r="J3" s="27" t="s">
        <v>51</v>
      </c>
    </row>
    <row r="4" spans="9:10" ht="12.75">
      <c r="I4" s="26" t="s">
        <v>52</v>
      </c>
      <c r="J4" s="27" t="s">
        <v>51</v>
      </c>
    </row>
    <row r="5" spans="9:10" ht="13.5" thickBot="1">
      <c r="I5" s="29" t="s">
        <v>53</v>
      </c>
      <c r="J5" s="30" t="s">
        <v>54</v>
      </c>
    </row>
    <row r="10" ht="13.5" thickBot="1"/>
    <row r="11" spans="1:16" ht="12.75" customHeight="1" thickBot="1">
      <c r="A11" s="14" t="str">
        <f aca="true" t="shared" si="0" ref="A11:A19">P11</f>
        <v> AN 249.387 </v>
      </c>
      <c r="B11" s="6" t="str">
        <f aca="true" t="shared" si="1" ref="B11:B19">IF(H11=INT(H11),"I","II")</f>
        <v>I</v>
      </c>
      <c r="C11" s="14">
        <f aca="true" t="shared" si="2" ref="C11:C19">1*G11</f>
        <v>26355.351</v>
      </c>
      <c r="D11" s="23" t="str">
        <f aca="true" t="shared" si="3" ref="D11:D19">VLOOKUP(F11,I$1:J$5,2,FALSE)</f>
        <v>vis</v>
      </c>
      <c r="E11" s="31">
        <f>VLOOKUP(C11,A!C$21:E$973,3,FALSE)</f>
        <v>-291.0090615321944</v>
      </c>
      <c r="F11" s="6" t="s">
        <v>53</v>
      </c>
      <c r="G11" s="23" t="str">
        <f aca="true" t="shared" si="4" ref="G11:G19">MID(I11,3,LEN(I11)-3)</f>
        <v>26355.351</v>
      </c>
      <c r="H11" s="14">
        <f aca="true" t="shared" si="5" ref="H11:H19">1*K11</f>
        <v>-291</v>
      </c>
      <c r="I11" s="32" t="s">
        <v>55</v>
      </c>
      <c r="J11" s="33" t="s">
        <v>56</v>
      </c>
      <c r="K11" s="32">
        <v>-291</v>
      </c>
      <c r="L11" s="32" t="s">
        <v>57</v>
      </c>
      <c r="M11" s="33" t="s">
        <v>58</v>
      </c>
      <c r="N11" s="33"/>
      <c r="O11" s="34" t="s">
        <v>59</v>
      </c>
      <c r="P11" s="34" t="s">
        <v>60</v>
      </c>
    </row>
    <row r="12" spans="1:16" ht="12.75" customHeight="1" thickBot="1">
      <c r="A12" s="14" t="str">
        <f t="shared" si="0"/>
        <v> AN 249.387 </v>
      </c>
      <c r="B12" s="6" t="str">
        <f t="shared" si="1"/>
        <v>I</v>
      </c>
      <c r="C12" s="14">
        <f t="shared" si="2"/>
        <v>26769.332</v>
      </c>
      <c r="D12" s="23" t="str">
        <f t="shared" si="3"/>
        <v>vis</v>
      </c>
      <c r="E12" s="31">
        <f>VLOOKUP(C12,A!C$21:E$973,3,FALSE)</f>
        <v>-235.94936063144803</v>
      </c>
      <c r="F12" s="6" t="s">
        <v>53</v>
      </c>
      <c r="G12" s="23" t="str">
        <f t="shared" si="4"/>
        <v>26769.332</v>
      </c>
      <c r="H12" s="14">
        <f t="shared" si="5"/>
        <v>-236</v>
      </c>
      <c r="I12" s="32" t="s">
        <v>61</v>
      </c>
      <c r="J12" s="33" t="s">
        <v>62</v>
      </c>
      <c r="K12" s="32">
        <v>-236</v>
      </c>
      <c r="L12" s="32" t="s">
        <v>63</v>
      </c>
      <c r="M12" s="33" t="s">
        <v>58</v>
      </c>
      <c r="N12" s="33"/>
      <c r="O12" s="34" t="s">
        <v>59</v>
      </c>
      <c r="P12" s="34" t="s">
        <v>60</v>
      </c>
    </row>
    <row r="13" spans="1:16" ht="12.75" customHeight="1" thickBot="1">
      <c r="A13" s="14" t="str">
        <f t="shared" si="0"/>
        <v> AA 27.154 </v>
      </c>
      <c r="B13" s="6" t="str">
        <f t="shared" si="1"/>
        <v>I</v>
      </c>
      <c r="C13" s="14">
        <f t="shared" si="2"/>
        <v>27453.24</v>
      </c>
      <c r="D13" s="23" t="str">
        <f t="shared" si="3"/>
        <v>vis</v>
      </c>
      <c r="E13" s="31">
        <f>VLOOKUP(C13,A!C$21:E$973,3,FALSE)</f>
        <v>-144.98922013314535</v>
      </c>
      <c r="F13" s="6" t="s">
        <v>53</v>
      </c>
      <c r="G13" s="23" t="str">
        <f t="shared" si="4"/>
        <v>27453.24</v>
      </c>
      <c r="H13" s="14">
        <f t="shared" si="5"/>
        <v>-145</v>
      </c>
      <c r="I13" s="32" t="s">
        <v>64</v>
      </c>
      <c r="J13" s="33" t="s">
        <v>65</v>
      </c>
      <c r="K13" s="32">
        <v>-145</v>
      </c>
      <c r="L13" s="32" t="s">
        <v>66</v>
      </c>
      <c r="M13" s="33" t="s">
        <v>67</v>
      </c>
      <c r="N13" s="33"/>
      <c r="O13" s="34" t="s">
        <v>68</v>
      </c>
      <c r="P13" s="34" t="s">
        <v>69</v>
      </c>
    </row>
    <row r="14" spans="1:16" ht="12.75" customHeight="1" thickBot="1">
      <c r="A14" s="14" t="str">
        <f t="shared" si="0"/>
        <v> SAC 18.62 </v>
      </c>
      <c r="B14" s="6" t="str">
        <f t="shared" si="1"/>
        <v>I</v>
      </c>
      <c r="C14" s="14">
        <f t="shared" si="2"/>
        <v>28543.35</v>
      </c>
      <c r="D14" s="23" t="str">
        <f t="shared" si="3"/>
        <v>vis</v>
      </c>
      <c r="E14" s="31">
        <f>VLOOKUP(C14,A!C$21:E$973,3,FALSE)</f>
        <v>-0.00399001651563381</v>
      </c>
      <c r="F14" s="6" t="s">
        <v>53</v>
      </c>
      <c r="G14" s="23" t="str">
        <f t="shared" si="4"/>
        <v>28543.35</v>
      </c>
      <c r="H14" s="14">
        <f t="shared" si="5"/>
        <v>0</v>
      </c>
      <c r="I14" s="32" t="s">
        <v>70</v>
      </c>
      <c r="J14" s="33" t="s">
        <v>71</v>
      </c>
      <c r="K14" s="32">
        <v>0</v>
      </c>
      <c r="L14" s="32" t="s">
        <v>72</v>
      </c>
      <c r="M14" s="33" t="s">
        <v>67</v>
      </c>
      <c r="N14" s="33"/>
      <c r="O14" s="34" t="s">
        <v>73</v>
      </c>
      <c r="P14" s="34" t="s">
        <v>74</v>
      </c>
    </row>
    <row r="15" spans="1:16" ht="12.75" customHeight="1" thickBot="1">
      <c r="A15" s="14" t="str">
        <f t="shared" si="0"/>
        <v> PZ 6.311 </v>
      </c>
      <c r="B15" s="6" t="str">
        <f t="shared" si="1"/>
        <v>I</v>
      </c>
      <c r="C15" s="14">
        <f t="shared" si="2"/>
        <v>29310.3</v>
      </c>
      <c r="D15" s="23" t="str">
        <f t="shared" si="3"/>
        <v>vis</v>
      </c>
      <c r="E15" s="31">
        <f>VLOOKUP(C15,A!C$21:E$973,3,FALSE)</f>
        <v>102.0007821972514</v>
      </c>
      <c r="F15" s="6" t="s">
        <v>53</v>
      </c>
      <c r="G15" s="23" t="str">
        <f t="shared" si="4"/>
        <v>29310.30</v>
      </c>
      <c r="H15" s="14">
        <f t="shared" si="5"/>
        <v>102</v>
      </c>
      <c r="I15" s="32" t="s">
        <v>75</v>
      </c>
      <c r="J15" s="33" t="s">
        <v>76</v>
      </c>
      <c r="K15" s="32">
        <v>102</v>
      </c>
      <c r="L15" s="32" t="s">
        <v>77</v>
      </c>
      <c r="M15" s="33" t="s">
        <v>58</v>
      </c>
      <c r="N15" s="33"/>
      <c r="O15" s="34" t="s">
        <v>78</v>
      </c>
      <c r="P15" s="34" t="s">
        <v>79</v>
      </c>
    </row>
    <row r="16" spans="1:16" ht="12.75" customHeight="1" thickBot="1">
      <c r="A16" s="14" t="str">
        <f t="shared" si="0"/>
        <v> PZ 6.311 </v>
      </c>
      <c r="B16" s="6" t="str">
        <f t="shared" si="1"/>
        <v>I</v>
      </c>
      <c r="C16" s="14">
        <f t="shared" si="2"/>
        <v>29588.53</v>
      </c>
      <c r="D16" s="23" t="str">
        <f t="shared" si="3"/>
        <v>vis</v>
      </c>
      <c r="E16" s="31">
        <f>VLOOKUP(C16,A!C$21:E$973,3,FALSE)</f>
        <v>139.00552536569307</v>
      </c>
      <c r="F16" s="6" t="s">
        <v>53</v>
      </c>
      <c r="G16" s="23" t="str">
        <f t="shared" si="4"/>
        <v>29588.53</v>
      </c>
      <c r="H16" s="14">
        <f t="shared" si="5"/>
        <v>139</v>
      </c>
      <c r="I16" s="32" t="s">
        <v>80</v>
      </c>
      <c r="J16" s="33" t="s">
        <v>81</v>
      </c>
      <c r="K16" s="32">
        <v>139</v>
      </c>
      <c r="L16" s="32" t="s">
        <v>82</v>
      </c>
      <c r="M16" s="33" t="s">
        <v>58</v>
      </c>
      <c r="N16" s="33"/>
      <c r="O16" s="34" t="s">
        <v>78</v>
      </c>
      <c r="P16" s="34" t="s">
        <v>79</v>
      </c>
    </row>
    <row r="17" spans="1:16" ht="12.75" customHeight="1" thickBot="1">
      <c r="A17" s="14" t="str">
        <f t="shared" si="0"/>
        <v> AA 27.154 </v>
      </c>
      <c r="B17" s="6" t="str">
        <f t="shared" si="1"/>
        <v>I</v>
      </c>
      <c r="C17" s="14">
        <f t="shared" si="2"/>
        <v>30468.27</v>
      </c>
      <c r="D17" s="23" t="str">
        <f t="shared" si="3"/>
        <v>vis</v>
      </c>
      <c r="E17" s="31">
        <f>VLOOKUP(C17,A!C$21:E$973,3,FALSE)</f>
        <v>256.0114296715011</v>
      </c>
      <c r="F17" s="6" t="s">
        <v>53</v>
      </c>
      <c r="G17" s="23" t="str">
        <f t="shared" si="4"/>
        <v>30468.27</v>
      </c>
      <c r="H17" s="14">
        <f t="shared" si="5"/>
        <v>256</v>
      </c>
      <c r="I17" s="32" t="s">
        <v>83</v>
      </c>
      <c r="J17" s="33" t="s">
        <v>84</v>
      </c>
      <c r="K17" s="32">
        <v>256</v>
      </c>
      <c r="L17" s="32" t="s">
        <v>85</v>
      </c>
      <c r="M17" s="33" t="s">
        <v>67</v>
      </c>
      <c r="N17" s="33"/>
      <c r="O17" s="34" t="s">
        <v>73</v>
      </c>
      <c r="P17" s="34" t="s">
        <v>69</v>
      </c>
    </row>
    <row r="18" spans="1:16" ht="12.75" customHeight="1" thickBot="1">
      <c r="A18" s="14" t="str">
        <f t="shared" si="0"/>
        <v> BBS 127 </v>
      </c>
      <c r="B18" s="6" t="str">
        <f t="shared" si="1"/>
        <v>I</v>
      </c>
      <c r="C18" s="14">
        <f t="shared" si="2"/>
        <v>52310.25</v>
      </c>
      <c r="D18" s="23" t="str">
        <f t="shared" si="3"/>
        <v>vis</v>
      </c>
      <c r="E18" s="31">
        <f>VLOOKUP(C18,A!C$21:E$973,3,FALSE)</f>
        <v>3161.006793903398</v>
      </c>
      <c r="F18" s="6" t="s">
        <v>53</v>
      </c>
      <c r="G18" s="23" t="str">
        <f t="shared" si="4"/>
        <v>52310.25</v>
      </c>
      <c r="H18" s="14">
        <f t="shared" si="5"/>
        <v>3161</v>
      </c>
      <c r="I18" s="32" t="s">
        <v>86</v>
      </c>
      <c r="J18" s="33" t="s">
        <v>87</v>
      </c>
      <c r="K18" s="32">
        <v>3161</v>
      </c>
      <c r="L18" s="32" t="s">
        <v>88</v>
      </c>
      <c r="M18" s="33" t="s">
        <v>89</v>
      </c>
      <c r="N18" s="33" t="s">
        <v>90</v>
      </c>
      <c r="O18" s="34" t="s">
        <v>91</v>
      </c>
      <c r="P18" s="34" t="s">
        <v>92</v>
      </c>
    </row>
    <row r="19" spans="1:16" ht="12.75" customHeight="1" thickBot="1">
      <c r="A19" s="14" t="str">
        <f t="shared" si="0"/>
        <v>IBVS 5690 </v>
      </c>
      <c r="B19" s="6" t="str">
        <f t="shared" si="1"/>
        <v>I</v>
      </c>
      <c r="C19" s="14">
        <f t="shared" si="2"/>
        <v>53377.77</v>
      </c>
      <c r="D19" s="23" t="str">
        <f t="shared" si="3"/>
        <v>vis</v>
      </c>
      <c r="E19" s="31">
        <f>VLOOKUP(C19,A!C$21:E$973,3,FALSE)</f>
        <v>3302.987541584003</v>
      </c>
      <c r="F19" s="6" t="s">
        <v>53</v>
      </c>
      <c r="G19" s="23" t="str">
        <f t="shared" si="4"/>
        <v>53377.7700</v>
      </c>
      <c r="H19" s="14">
        <f t="shared" si="5"/>
        <v>3303</v>
      </c>
      <c r="I19" s="32" t="s">
        <v>93</v>
      </c>
      <c r="J19" s="33" t="s">
        <v>94</v>
      </c>
      <c r="K19" s="32">
        <v>3303</v>
      </c>
      <c r="L19" s="32" t="s">
        <v>95</v>
      </c>
      <c r="M19" s="33" t="s">
        <v>89</v>
      </c>
      <c r="N19" s="33" t="s">
        <v>90</v>
      </c>
      <c r="O19" s="34" t="s">
        <v>96</v>
      </c>
      <c r="P19" s="35" t="s">
        <v>97</v>
      </c>
    </row>
    <row r="20" spans="2:6" ht="12.75">
      <c r="B20" s="6"/>
      <c r="E20" s="31"/>
      <c r="F20" s="6"/>
    </row>
    <row r="21" spans="2:6" ht="12.75">
      <c r="B21" s="6"/>
      <c r="E21" s="31"/>
      <c r="F21" s="6"/>
    </row>
    <row r="22" spans="2:6" ht="12.75">
      <c r="B22" s="6"/>
      <c r="E22" s="31"/>
      <c r="F22" s="6"/>
    </row>
    <row r="23" spans="2:6" ht="12.75">
      <c r="B23" s="6"/>
      <c r="E23" s="31"/>
      <c r="F23" s="6"/>
    </row>
    <row r="24" spans="2:6" ht="12.75">
      <c r="B24" s="6"/>
      <c r="E24" s="31"/>
      <c r="F24" s="6"/>
    </row>
    <row r="25" spans="2:6" ht="12.75">
      <c r="B25" s="6"/>
      <c r="E25" s="31"/>
      <c r="F25" s="6"/>
    </row>
    <row r="26" spans="2:6" ht="12.75">
      <c r="B26" s="6"/>
      <c r="E26" s="31"/>
      <c r="F26" s="6"/>
    </row>
    <row r="27" spans="2:6" ht="12.75">
      <c r="B27" s="6"/>
      <c r="E27" s="31"/>
      <c r="F27" s="6"/>
    </row>
    <row r="28" spans="2:6" ht="12.75">
      <c r="B28" s="6"/>
      <c r="E28" s="31"/>
      <c r="F28" s="6"/>
    </row>
    <row r="29" spans="2:6" ht="12.75">
      <c r="B29" s="6"/>
      <c r="E29" s="31"/>
      <c r="F29" s="6"/>
    </row>
    <row r="30" spans="2:6" ht="12.75">
      <c r="B30" s="6"/>
      <c r="E30" s="31"/>
      <c r="F30" s="6"/>
    </row>
    <row r="31" spans="2:6" ht="12.75">
      <c r="B31" s="6"/>
      <c r="E31" s="31"/>
      <c r="F31" s="6"/>
    </row>
    <row r="32" spans="2:6" ht="12.75">
      <c r="B32" s="6"/>
      <c r="E32" s="31"/>
      <c r="F32" s="6"/>
    </row>
    <row r="33" spans="2:6" ht="12.75">
      <c r="B33" s="6"/>
      <c r="E33" s="31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</sheetData>
  <sheetProtection/>
  <hyperlinks>
    <hyperlink ref="P19" r:id="rId1" display="http://www.konkoly.hu/cgi-bin/IBVS?569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