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<sst xmlns="http://schemas.openxmlformats.org/spreadsheetml/2006/main" count="230" uniqueCount="126">
  <si>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</si>
  <si>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</si>
  <si>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</si>
  <si>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</si>
  <si>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</si>
  <si>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</si>
  <si>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</si>
  <si>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</si>
  <si>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</si>
  <si>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</si>
  <si>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</si>
  <si>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</si>
  <si>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</si>
  <si>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</si>
  <si>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</si>
  <si>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</si>
  <si>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</si>
  <si>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</si>
  <si>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</si>
  <si>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</si>
  <si>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</si>
  <si>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</si>
  <si>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</si>
  <si>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</si>
  <si>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</si>
  <si>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</si>
  <si>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</si>
  <si>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</si>
  <si>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</si>
  <si>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</si>
  <si>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</si>
  <si>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EA/sd</t>
  </si>
  <si>
    <t>Locher K</t>
  </si>
  <si>
    <t>BBSAG Bull.86</t>
  </si>
  <si>
    <t>B</t>
  </si>
  <si>
    <t>Peter H</t>
  </si>
  <si>
    <t>BBSAG Bull.117</t>
  </si>
  <si>
    <t>BBSAG</t>
  </si>
  <si>
    <t># of data points:</t>
  </si>
  <si>
    <t>IS Mon / GSC 00750-00569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</si>
  <si>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</si>
  <si>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</si>
  <si>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</si>
  <si>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</si>
  <si>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</si>
  <si>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</si>
  <si>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</si>
  <si>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</si>
  <si>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</si>
  <si>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</si>
  <si>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</si>
  <si>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</si>
  <si>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2427099.37 </t>
  </si>
  <si>
    <t> 26.01.1933 20:52 </t>
  </si>
  <si>
    <t> 0.11 </t>
  </si>
  <si>
    <t>P </t>
  </si>
  <si>
    <t> C.Hoffmeister </t>
  </si>
  <si>
    <t> VSS 2.69 </t>
  </si>
  <si>
    <t>2427718.56 </t>
  </si>
  <si>
    <t> 08.10.1934 01:26 </t>
  </si>
  <si>
    <t> 0.02 </t>
  </si>
  <si>
    <t>2428127.48 </t>
  </si>
  <si>
    <t> 20.11.1935 23:31 </t>
  </si>
  <si>
    <t> 0.13 </t>
  </si>
  <si>
    <t>2428220.30 </t>
  </si>
  <si>
    <t> 21.02.1936 19:12 </t>
  </si>
  <si>
    <t> -0.15 </t>
  </si>
  <si>
    <t>2428629.34 </t>
  </si>
  <si>
    <t> 05.04.1937 20:09 </t>
  </si>
  <si>
    <t> 0.08 </t>
  </si>
  <si>
    <t>2428835.66 </t>
  </si>
  <si>
    <t> 29.10.1937 03:50 </t>
  </si>
  <si>
    <t> -0.02 </t>
  </si>
  <si>
    <t>2429313.29 </t>
  </si>
  <si>
    <t> 18.02.1939 18:57 </t>
  </si>
  <si>
    <t> -0.01 </t>
  </si>
  <si>
    <t>2430705.64 </t>
  </si>
  <si>
    <t> 12.12.1942 03:21 </t>
  </si>
  <si>
    <t> -0.04 </t>
  </si>
  <si>
    <t>2431029.51 </t>
  </si>
  <si>
    <t> 01.11.1943 00:14 </t>
  </si>
  <si>
    <t>2431470.65 </t>
  </si>
  <si>
    <t> 15.01.1945 03:36 </t>
  </si>
  <si>
    <t> -0.03 </t>
  </si>
  <si>
    <t>2432211.45 </t>
  </si>
  <si>
    <t> 25.01.1947 22:48 </t>
  </si>
  <si>
    <t> 0.06 </t>
  </si>
  <si>
    <t>2433239.50 </t>
  </si>
  <si>
    <t> 19.11.1949 00:00 </t>
  </si>
  <si>
    <t>2435862.283 </t>
  </si>
  <si>
    <t> 23.01.1957 18:47 </t>
  </si>
  <si>
    <t> -0.053 </t>
  </si>
  <si>
    <t> G.T.Oliinyk </t>
  </si>
  <si>
    <t> CLVO 39.62 </t>
  </si>
  <si>
    <t>2435931.270 </t>
  </si>
  <si>
    <t> 02.04.1957 18:28 </t>
  </si>
  <si>
    <t> 0.125 </t>
  </si>
  <si>
    <t>2436194.329 </t>
  </si>
  <si>
    <t> 21.12.1957 19:53 </t>
  </si>
  <si>
    <t> 0.089 </t>
  </si>
  <si>
    <t>2436287.370 </t>
  </si>
  <si>
    <t> 24.03.1958 20:52 </t>
  </si>
  <si>
    <t> 0.035 </t>
  </si>
  <si>
    <t>2436631.388 </t>
  </si>
  <si>
    <t> 03.03.1959 21:18 </t>
  </si>
  <si>
    <t> 0.006 </t>
  </si>
  <si>
    <t>2447151.425 </t>
  </si>
  <si>
    <t> 21.12.1987 22:12 </t>
  </si>
  <si>
    <t> 0.305 </t>
  </si>
  <si>
    <t>V </t>
  </si>
  <si>
    <t> K.Locher </t>
  </si>
  <si>
    <t> BBS 86 </t>
  </si>
  <si>
    <t>2450883.331 </t>
  </si>
  <si>
    <t> 10.03.1998 19:56 </t>
  </si>
  <si>
    <t> 0.315 </t>
  </si>
  <si>
    <t> H.Peter </t>
  </si>
  <si>
    <t> BBS 117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</si>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</sst>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0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22" fontId="7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Mon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A!$H$21:$H$996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A!$D$22:$D$47</c:f>
                <c:numCache>
                  <c:ptCount val="2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0.007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A!$I$21:$I$996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0.007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0.007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A!$J$21:$J$996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A!$K$21:$K$996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A!$L$21:$L$996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A!$M$21:$M$996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A!$N$21:$N$996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A!$F$21:$F$996</c:f>
              <c:numCache/>
            </c:numRef>
          </c:xVal>
          <c:yVal>
            <c:numRef>
              <c:f>A!$O$21:$O$996</c:f>
              <c:numCache/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crossBetween val="midCat"/>
        <c:dispUnits/>
      </c:val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2975"/>
          <c:w val="0.741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16</xdr:col>
      <xdr:colOff>485775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724400" y="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8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27</v>
      </c>
      <c r="B2" t="s">
        <v>31</v>
      </c>
    </row>
    <row r="4" spans="1:4" ht="12.75">
      <c r="A4" s="8" t="s">
        <v>0</v>
      </c>
      <c r="C4" s="3">
        <v>27099.26</v>
      </c>
      <c r="D4" s="4">
        <v>4.04761</v>
      </c>
    </row>
    <row r="5" spans="1:4" ht="12.75">
      <c r="A5" s="31" t="s">
        <v>118</v>
      </c>
      <c r="B5" s="16"/>
      <c r="C5" s="32">
        <v>-9.5</v>
      </c>
      <c r="D5" s="16" t="s">
        <v>119</v>
      </c>
    </row>
    <row r="6" ht="12.75">
      <c r="A6" s="8" t="s">
        <v>1</v>
      </c>
    </row>
    <row r="7" spans="1:3" ht="12.75">
      <c r="A7" t="s">
        <v>2</v>
      </c>
      <c r="C7">
        <f>+C4</f>
        <v>27099.26</v>
      </c>
    </row>
    <row r="8" spans="1:3" ht="12.75">
      <c r="A8" t="s">
        <v>3</v>
      </c>
      <c r="C8">
        <f>+D4</f>
        <v>4.04761</v>
      </c>
    </row>
    <row r="9" spans="1:4" ht="12.75">
      <c r="A9" s="33" t="s">
        <v>120</v>
      </c>
      <c r="B9" s="34">
        <v>21</v>
      </c>
      <c r="C9" s="35" t="str">
        <f>"F"&amp;B9</f>
        <v>F21</v>
      </c>
      <c r="D9" s="36" t="str">
        <f>"G"&amp;B9</f>
        <v>G21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37">
        <f ca="1">INTERCEPT(INDIRECT($D$9):G978,INDIRECT($C$9):F978)</f>
        <v>-0.02492537329706107</v>
      </c>
      <c r="D11" s="6"/>
    </row>
    <row r="12" spans="1:4" ht="12.75">
      <c r="A12" t="s">
        <v>17</v>
      </c>
      <c r="C12" s="37">
        <f ca="1">SLOPE(INDIRECT($D$9):G978,INDIRECT($C$9):F978)</f>
        <v>5.0253865141308177E-05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1">
        <f>(C7+C11)+(C8+C12)*INT(MAX(F21:F3533))</f>
        <v>50883.286726338265</v>
      </c>
      <c r="E15" s="38" t="s">
        <v>121</v>
      </c>
      <c r="F15" s="32">
        <v>1</v>
      </c>
    </row>
    <row r="16" spans="1:6" ht="12.75">
      <c r="A16" s="8" t="s">
        <v>4</v>
      </c>
      <c r="C16" s="12">
        <f>+C8+C12</f>
        <v>4.047660253865141</v>
      </c>
      <c r="E16" s="38" t="s">
        <v>122</v>
      </c>
      <c r="F16" s="39">
        <f ca="1">NOW()+15018.5+$C$5/24</f>
        <v>59903.71781701389</v>
      </c>
    </row>
    <row r="17" spans="1:6" ht="13.5" thickBot="1">
      <c r="A17" s="13" t="s">
        <v>38</v>
      </c>
      <c r="C17">
        <f>COUNT(C21:C2191)</f>
        <v>20</v>
      </c>
      <c r="E17" s="38" t="s">
        <v>123</v>
      </c>
      <c r="F17" s="39">
        <f>ROUND(2*(F16-$C$7)/$C$8,0)/2+F15</f>
        <v>8105.5</v>
      </c>
    </row>
    <row r="18" spans="1:6" ht="12.75">
      <c r="A18" s="8" t="s">
        <v>5</v>
      </c>
      <c r="C18" s="3">
        <f>+C15</f>
        <v>50883.286726338265</v>
      </c>
      <c r="D18" s="4">
        <f>+C16</f>
        <v>4.047660253865141</v>
      </c>
      <c r="E18" s="38" t="s">
        <v>124</v>
      </c>
      <c r="F18" s="36">
        <f>ROUND(2*(F16-$C$15)/$C$16,0)/2+F15</f>
        <v>2229.5</v>
      </c>
    </row>
    <row r="19" spans="5:6" ht="13.5" thickTop="1">
      <c r="E19" s="38" t="s">
        <v>125</v>
      </c>
      <c r="F19" s="40">
        <f>+$C$15+$C$16*F18-15018.5-$C$5/24</f>
        <v>44889.44109566393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37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27099.26</v>
      </c>
      <c r="D21" s="14" t="s">
        <v>14</v>
      </c>
      <c r="E21">
        <f aca="true" t="shared" si="0" ref="E21:E40">+(C21-C$7)/C$8</f>
        <v>0</v>
      </c>
      <c r="F21">
        <f aca="true" t="shared" si="1" ref="F21:F40">ROUND(2*E21,0)/2</f>
        <v>0</v>
      </c>
      <c r="G21">
        <f aca="true" t="shared" si="2" ref="G21:G40">+C21-(C$7+F21*C$8)</f>
        <v>0</v>
      </c>
      <c r="H21">
        <f>+G21</f>
        <v>0</v>
      </c>
      <c r="O21">
        <f aca="true" t="shared" si="3" ref="O21:O40">+C$11+C$12*F21</f>
        <v>-0.02492537329706107</v>
      </c>
      <c r="Q21" s="2">
        <f aca="true" t="shared" si="4" ref="Q21:Q40">+C21-15018.5</f>
        <v>12080.759999999998</v>
      </c>
    </row>
    <row r="22" spans="1:17" ht="12.75">
      <c r="A22" s="28" t="s">
        <v>57</v>
      </c>
      <c r="B22" s="30" t="s">
        <v>117</v>
      </c>
      <c r="C22" s="29">
        <v>27099.37</v>
      </c>
      <c r="D22" s="14"/>
      <c r="E22">
        <f t="shared" si="0"/>
        <v>0.027176531335919737</v>
      </c>
      <c r="F22">
        <f t="shared" si="1"/>
        <v>0</v>
      </c>
      <c r="G22">
        <f t="shared" si="2"/>
        <v>0.11000000000058208</v>
      </c>
      <c r="K22">
        <f aca="true" t="shared" si="5" ref="K22:K38">G22</f>
        <v>0.11000000000058208</v>
      </c>
      <c r="O22">
        <f t="shared" si="3"/>
        <v>-0.02492537329706107</v>
      </c>
      <c r="Q22" s="2">
        <f t="shared" si="4"/>
        <v>12080.869999999999</v>
      </c>
    </row>
    <row r="23" spans="1:17" ht="12.75">
      <c r="A23" s="28" t="s">
        <v>57</v>
      </c>
      <c r="B23" s="30" t="s">
        <v>117</v>
      </c>
      <c r="C23" s="29">
        <v>27718.56</v>
      </c>
      <c r="D23" s="14"/>
      <c r="E23">
        <f t="shared" si="0"/>
        <v>153.0038714204192</v>
      </c>
      <c r="F23">
        <f t="shared" si="1"/>
        <v>153</v>
      </c>
      <c r="G23">
        <f t="shared" si="2"/>
        <v>0.015670000004320173</v>
      </c>
      <c r="K23">
        <f t="shared" si="5"/>
        <v>0.015670000004320173</v>
      </c>
      <c r="O23">
        <f t="shared" si="3"/>
        <v>-0.017236531930440918</v>
      </c>
      <c r="Q23" s="2">
        <f t="shared" si="4"/>
        <v>12700.060000000001</v>
      </c>
    </row>
    <row r="24" spans="1:17" ht="12.75">
      <c r="A24" s="28" t="s">
        <v>57</v>
      </c>
      <c r="B24" s="30" t="s">
        <v>117</v>
      </c>
      <c r="C24" s="29">
        <v>28127.48</v>
      </c>
      <c r="D24" s="14"/>
      <c r="E24">
        <f t="shared" si="0"/>
        <v>254.0313913642869</v>
      </c>
      <c r="F24">
        <f t="shared" si="1"/>
        <v>254</v>
      </c>
      <c r="G24">
        <f t="shared" si="2"/>
        <v>0.1270600000025297</v>
      </c>
      <c r="K24">
        <f t="shared" si="5"/>
        <v>0.1270600000025297</v>
      </c>
      <c r="O24">
        <f t="shared" si="3"/>
        <v>-0.012160891551168795</v>
      </c>
      <c r="Q24" s="2">
        <f t="shared" si="4"/>
        <v>13108.98</v>
      </c>
    </row>
    <row r="25" spans="1:17" ht="12.75">
      <c r="A25" s="28" t="s">
        <v>57</v>
      </c>
      <c r="B25" s="30" t="s">
        <v>117</v>
      </c>
      <c r="C25" s="29">
        <v>28220.3</v>
      </c>
      <c r="D25" s="14"/>
      <c r="E25">
        <f t="shared" si="0"/>
        <v>276.9634426241661</v>
      </c>
      <c r="F25">
        <f t="shared" si="1"/>
        <v>277</v>
      </c>
      <c r="G25">
        <f t="shared" si="2"/>
        <v>-0.14796999999816762</v>
      </c>
      <c r="K25">
        <f t="shared" si="5"/>
        <v>-0.14796999999816762</v>
      </c>
      <c r="O25">
        <f t="shared" si="3"/>
        <v>-0.011005052652918706</v>
      </c>
      <c r="Q25" s="2">
        <f t="shared" si="4"/>
        <v>13201.8</v>
      </c>
    </row>
    <row r="26" spans="1:17" ht="12.75">
      <c r="A26" s="28" t="s">
        <v>57</v>
      </c>
      <c r="B26" s="30" t="s">
        <v>117</v>
      </c>
      <c r="C26" s="29">
        <v>28629.34</v>
      </c>
      <c r="D26" s="14"/>
      <c r="E26">
        <f t="shared" si="0"/>
        <v>378.020609693128</v>
      </c>
      <c r="F26">
        <f t="shared" si="1"/>
        <v>378</v>
      </c>
      <c r="G26">
        <f t="shared" si="2"/>
        <v>0.08342000000266125</v>
      </c>
      <c r="K26">
        <f t="shared" si="5"/>
        <v>0.08342000000266125</v>
      </c>
      <c r="O26">
        <f t="shared" si="3"/>
        <v>-0.00592941227364658</v>
      </c>
      <c r="Q26" s="2">
        <f t="shared" si="4"/>
        <v>13610.84</v>
      </c>
    </row>
    <row r="27" spans="1:17" ht="12.75">
      <c r="A27" s="28" t="s">
        <v>57</v>
      </c>
      <c r="B27" s="30" t="s">
        <v>117</v>
      </c>
      <c r="C27" s="29">
        <v>28835.66</v>
      </c>
      <c r="D27" s="14"/>
      <c r="E27">
        <f t="shared" si="0"/>
        <v>428.99390010401237</v>
      </c>
      <c r="F27">
        <f t="shared" si="1"/>
        <v>429</v>
      </c>
      <c r="G27">
        <f t="shared" si="2"/>
        <v>-0.024689999998372514</v>
      </c>
      <c r="K27">
        <f t="shared" si="5"/>
        <v>-0.024689999998372514</v>
      </c>
      <c r="O27">
        <f t="shared" si="3"/>
        <v>-0.003366465151439863</v>
      </c>
      <c r="Q27" s="2">
        <f t="shared" si="4"/>
        <v>13817.16</v>
      </c>
    </row>
    <row r="28" spans="1:17" ht="12.75">
      <c r="A28" s="28" t="s">
        <v>57</v>
      </c>
      <c r="B28" s="30" t="s">
        <v>117</v>
      </c>
      <c r="C28" s="29">
        <v>29313.29</v>
      </c>
      <c r="D28" s="14"/>
      <c r="E28">
        <f t="shared" si="0"/>
        <v>546.9968697577095</v>
      </c>
      <c r="F28">
        <f t="shared" si="1"/>
        <v>547</v>
      </c>
      <c r="G28">
        <f t="shared" si="2"/>
        <v>-0.012669999996433035</v>
      </c>
      <c r="K28">
        <f t="shared" si="5"/>
        <v>-0.012669999996433035</v>
      </c>
      <c r="O28">
        <f t="shared" si="3"/>
        <v>0.0025634909352345026</v>
      </c>
      <c r="Q28" s="2">
        <f t="shared" si="4"/>
        <v>14294.79</v>
      </c>
    </row>
    <row r="29" spans="1:17" ht="12.75">
      <c r="A29" s="28" t="s">
        <v>57</v>
      </c>
      <c r="B29" s="30" t="s">
        <v>117</v>
      </c>
      <c r="C29" s="29">
        <v>30705.64</v>
      </c>
      <c r="D29" s="14"/>
      <c r="E29">
        <f t="shared" si="0"/>
        <v>890.9899916246875</v>
      </c>
      <c r="F29">
        <f t="shared" si="1"/>
        <v>891</v>
      </c>
      <c r="G29">
        <f t="shared" si="2"/>
        <v>-0.04050999999890337</v>
      </c>
      <c r="K29">
        <f t="shared" si="5"/>
        <v>-0.04050999999890337</v>
      </c>
      <c r="O29">
        <f t="shared" si="3"/>
        <v>0.019850820543844516</v>
      </c>
      <c r="Q29" s="2">
        <f t="shared" si="4"/>
        <v>15687.14</v>
      </c>
    </row>
    <row r="30" spans="1:17" ht="12.75">
      <c r="A30" s="28" t="s">
        <v>57</v>
      </c>
      <c r="B30" s="30" t="s">
        <v>117</v>
      </c>
      <c r="C30" s="29">
        <v>31029.51</v>
      </c>
      <c r="D30" s="14"/>
      <c r="E30">
        <f t="shared" si="0"/>
        <v>971.0051116584849</v>
      </c>
      <c r="F30">
        <f t="shared" si="1"/>
        <v>971</v>
      </c>
      <c r="G30">
        <f t="shared" si="2"/>
        <v>0.020690000001195585</v>
      </c>
      <c r="K30">
        <f t="shared" si="5"/>
        <v>0.020690000001195585</v>
      </c>
      <c r="O30">
        <f t="shared" si="3"/>
        <v>0.02387112975514917</v>
      </c>
      <c r="Q30" s="2">
        <f t="shared" si="4"/>
        <v>16011.009999999998</v>
      </c>
    </row>
    <row r="31" spans="1:17" ht="12.75">
      <c r="A31" s="28" t="s">
        <v>57</v>
      </c>
      <c r="B31" s="30" t="s">
        <v>117</v>
      </c>
      <c r="C31" s="29">
        <v>31470.65</v>
      </c>
      <c r="D31" s="14"/>
      <c r="E31">
        <f t="shared" si="0"/>
        <v>1079.9928846899784</v>
      </c>
      <c r="F31">
        <f t="shared" si="1"/>
        <v>1080</v>
      </c>
      <c r="G31">
        <f t="shared" si="2"/>
        <v>-0.028799999996408587</v>
      </c>
      <c r="K31">
        <f t="shared" si="5"/>
        <v>-0.028799999996408587</v>
      </c>
      <c r="O31">
        <f t="shared" si="3"/>
        <v>0.02934880105555176</v>
      </c>
      <c r="Q31" s="2">
        <f t="shared" si="4"/>
        <v>16452.15</v>
      </c>
    </row>
    <row r="32" spans="1:17" ht="12.75">
      <c r="A32" s="28" t="s">
        <v>57</v>
      </c>
      <c r="B32" s="30" t="s">
        <v>117</v>
      </c>
      <c r="C32" s="29">
        <v>32211.45</v>
      </c>
      <c r="D32" s="14"/>
      <c r="E32">
        <f t="shared" si="0"/>
        <v>1263.01447026764</v>
      </c>
      <c r="F32">
        <f t="shared" si="1"/>
        <v>1263</v>
      </c>
      <c r="G32">
        <f t="shared" si="2"/>
        <v>0.0585700000046927</v>
      </c>
      <c r="K32">
        <f t="shared" si="5"/>
        <v>0.0585700000046927</v>
      </c>
      <c r="O32">
        <f t="shared" si="3"/>
        <v>0.03854525837641115</v>
      </c>
      <c r="Q32" s="2">
        <f t="shared" si="4"/>
        <v>17192.95</v>
      </c>
    </row>
    <row r="33" spans="1:17" ht="12.75">
      <c r="A33" s="28" t="s">
        <v>57</v>
      </c>
      <c r="B33" s="30" t="s">
        <v>117</v>
      </c>
      <c r="C33" s="29">
        <v>33239.5</v>
      </c>
      <c r="D33" s="14"/>
      <c r="E33">
        <f t="shared" si="0"/>
        <v>1517.003861538044</v>
      </c>
      <c r="F33">
        <f t="shared" si="1"/>
        <v>1517</v>
      </c>
      <c r="G33">
        <f t="shared" si="2"/>
        <v>0.01563000000169268</v>
      </c>
      <c r="K33">
        <f t="shared" si="5"/>
        <v>0.01563000000169268</v>
      </c>
      <c r="O33">
        <f t="shared" si="3"/>
        <v>0.05130974012230344</v>
      </c>
      <c r="Q33" s="2">
        <f t="shared" si="4"/>
        <v>18221</v>
      </c>
    </row>
    <row r="34" spans="1:17" ht="12.75">
      <c r="A34" s="28" t="s">
        <v>93</v>
      </c>
      <c r="B34" s="30" t="s">
        <v>117</v>
      </c>
      <c r="C34" s="29">
        <v>35862.283</v>
      </c>
      <c r="D34" s="14"/>
      <c r="E34">
        <f t="shared" si="0"/>
        <v>2164.9869923238666</v>
      </c>
      <c r="F34">
        <f t="shared" si="1"/>
        <v>2165</v>
      </c>
      <c r="G34">
        <f t="shared" si="2"/>
        <v>-0.052649999990535434</v>
      </c>
      <c r="K34">
        <f t="shared" si="5"/>
        <v>-0.052649999990535434</v>
      </c>
      <c r="O34">
        <f t="shared" si="3"/>
        <v>0.08387424473387113</v>
      </c>
      <c r="Q34" s="2">
        <f t="shared" si="4"/>
        <v>20843.783000000003</v>
      </c>
    </row>
    <row r="35" spans="1:17" ht="12.75">
      <c r="A35" s="28" t="s">
        <v>93</v>
      </c>
      <c r="B35" s="30" t="s">
        <v>117</v>
      </c>
      <c r="C35" s="29">
        <v>35931.27</v>
      </c>
      <c r="D35" s="14"/>
      <c r="E35">
        <f t="shared" si="0"/>
        <v>2182.0308774807845</v>
      </c>
      <c r="F35">
        <f t="shared" si="1"/>
        <v>2182</v>
      </c>
      <c r="G35">
        <f t="shared" si="2"/>
        <v>0.12498000000050524</v>
      </c>
      <c r="K35">
        <f t="shared" si="5"/>
        <v>0.12498000000050524</v>
      </c>
      <c r="O35">
        <f t="shared" si="3"/>
        <v>0.08472856044127337</v>
      </c>
      <c r="Q35" s="2">
        <f t="shared" si="4"/>
        <v>20912.769999999997</v>
      </c>
    </row>
    <row r="36" spans="1:17" ht="12.75">
      <c r="A36" s="28" t="s">
        <v>93</v>
      </c>
      <c r="B36" s="30" t="s">
        <v>117</v>
      </c>
      <c r="C36" s="29">
        <v>36194.329</v>
      </c>
      <c r="D36" s="14"/>
      <c r="E36">
        <f t="shared" si="0"/>
        <v>2247.0220698140383</v>
      </c>
      <c r="F36">
        <f t="shared" si="1"/>
        <v>2247</v>
      </c>
      <c r="G36">
        <f t="shared" si="2"/>
        <v>0.08933000000251923</v>
      </c>
      <c r="K36">
        <f t="shared" si="5"/>
        <v>0.08933000000251923</v>
      </c>
      <c r="O36">
        <f t="shared" si="3"/>
        <v>0.0879950616754584</v>
      </c>
      <c r="Q36" s="2">
        <f t="shared" si="4"/>
        <v>21175.828999999998</v>
      </c>
    </row>
    <row r="37" spans="1:17" ht="12.75">
      <c r="A37" s="28" t="s">
        <v>93</v>
      </c>
      <c r="B37" s="30" t="s">
        <v>117</v>
      </c>
      <c r="C37" s="29">
        <v>36287.37</v>
      </c>
      <c r="D37" s="14"/>
      <c r="E37">
        <f t="shared" si="0"/>
        <v>2270.0087211959662</v>
      </c>
      <c r="F37">
        <f t="shared" si="1"/>
        <v>2270</v>
      </c>
      <c r="G37">
        <f t="shared" si="2"/>
        <v>0.03530000000318978</v>
      </c>
      <c r="K37">
        <f t="shared" si="5"/>
        <v>0.03530000000318978</v>
      </c>
      <c r="O37">
        <f t="shared" si="3"/>
        <v>0.08915090057370849</v>
      </c>
      <c r="Q37" s="2">
        <f t="shared" si="4"/>
        <v>21268.870000000003</v>
      </c>
    </row>
    <row r="38" spans="1:17" ht="12.75">
      <c r="A38" s="28" t="s">
        <v>93</v>
      </c>
      <c r="B38" s="30" t="s">
        <v>117</v>
      </c>
      <c r="C38" s="29">
        <v>36631.388</v>
      </c>
      <c r="D38" s="14"/>
      <c r="E38">
        <f t="shared" si="0"/>
        <v>2355.0015935329743</v>
      </c>
      <c r="F38">
        <f t="shared" si="1"/>
        <v>2355</v>
      </c>
      <c r="G38">
        <f t="shared" si="2"/>
        <v>0.006450000000768341</v>
      </c>
      <c r="K38">
        <f t="shared" si="5"/>
        <v>0.006450000000768341</v>
      </c>
      <c r="O38">
        <f t="shared" si="3"/>
        <v>0.09342247911071969</v>
      </c>
      <c r="Q38" s="2">
        <f t="shared" si="4"/>
        <v>21612.888</v>
      </c>
    </row>
    <row r="39" spans="1:31" ht="12.75">
      <c r="A39" t="s">
        <v>33</v>
      </c>
      <c r="C39" s="14">
        <v>47151.425</v>
      </c>
      <c r="D39" s="14"/>
      <c r="E39">
        <f t="shared" si="0"/>
        <v>4954.0753679331765</v>
      </c>
      <c r="F39">
        <f t="shared" si="1"/>
        <v>4954</v>
      </c>
      <c r="G39">
        <f t="shared" si="2"/>
        <v>0.30506000000605127</v>
      </c>
      <c r="I39">
        <f>G39</f>
        <v>0.30506000000605127</v>
      </c>
      <c r="O39">
        <f t="shared" si="3"/>
        <v>0.22403227461297964</v>
      </c>
      <c r="Q39" s="2">
        <f t="shared" si="4"/>
        <v>32132.925000000003</v>
      </c>
      <c r="AA39">
        <v>9</v>
      </c>
      <c r="AC39" t="s">
        <v>32</v>
      </c>
      <c r="AE39" t="s">
        <v>34</v>
      </c>
    </row>
    <row r="40" spans="1:31" ht="12.75">
      <c r="A40" t="s">
        <v>36</v>
      </c>
      <c r="C40" s="14">
        <v>50883.331</v>
      </c>
      <c r="D40" s="14">
        <v>0.007</v>
      </c>
      <c r="E40">
        <f t="shared" si="0"/>
        <v>5876.077734761996</v>
      </c>
      <c r="F40">
        <f t="shared" si="1"/>
        <v>5876</v>
      </c>
      <c r="G40">
        <f t="shared" si="2"/>
        <v>0.3146400000041467</v>
      </c>
      <c r="I40">
        <f>G40</f>
        <v>0.3146400000041467</v>
      </c>
      <c r="O40">
        <f t="shared" si="3"/>
        <v>0.2703663382732658</v>
      </c>
      <c r="Q40" s="2">
        <f t="shared" si="4"/>
        <v>35864.831</v>
      </c>
      <c r="AA40">
        <v>11</v>
      </c>
      <c r="AC40" t="s">
        <v>35</v>
      </c>
      <c r="AE40" t="s">
        <v>34</v>
      </c>
    </row>
    <row r="41" spans="2:4" ht="12.75">
      <c r="B41" s="6"/>
      <c r="C41" s="14"/>
      <c r="D41" s="14"/>
    </row>
    <row r="42" spans="2:4" ht="12.75">
      <c r="B42" s="6"/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6">
      <selection activeCell="A13" sqref="A13:C29"/>
    </sheetView>
  </sheetViews>
  <sheetFormatPr defaultColWidth="9.140625" defaultRowHeight="12.75"/>
  <cols>
    <col min="1" max="1" width="19.7109375" style="14" customWidth="1"/>
    <col min="2" max="2" width="4.421875" style="16" customWidth="1"/>
    <col min="3" max="3" width="12.7109375" style="14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4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15" t="s">
        <v>40</v>
      </c>
      <c r="I1" s="17" t="s">
        <v>41</v>
      </c>
      <c r="J1" s="18" t="s">
        <v>42</v>
      </c>
    </row>
    <row r="2" spans="9:10" ht="12.75">
      <c r="I2" s="19" t="s">
        <v>43</v>
      </c>
      <c r="J2" s="20" t="s">
        <v>44</v>
      </c>
    </row>
    <row r="3" spans="1:10" ht="12.75">
      <c r="A3" s="21" t="s">
        <v>45</v>
      </c>
      <c r="I3" s="19" t="s">
        <v>46</v>
      </c>
      <c r="J3" s="20" t="s">
        <v>47</v>
      </c>
    </row>
    <row r="4" spans="9:10" ht="12.75">
      <c r="I4" s="19" t="s">
        <v>48</v>
      </c>
      <c r="J4" s="20" t="s">
        <v>47</v>
      </c>
    </row>
    <row r="5" spans="9:10" ht="13.5" thickBot="1">
      <c r="I5" s="22" t="s">
        <v>49</v>
      </c>
      <c r="J5" s="23" t="s">
        <v>50</v>
      </c>
    </row>
    <row r="10" ht="13.5" thickBot="1"/>
    <row r="11" spans="1:16" ht="12.75" customHeight="1" thickBot="1">
      <c r="A11" s="14" t="str">
        <f aca="true" t="shared" si="0" ref="A11:A29">P11</f>
        <v> BBS 86 </v>
      </c>
      <c r="B11" s="6" t="str">
        <f aca="true" t="shared" si="1" ref="B11:B29">IF(H11=INT(H11),"I","II")</f>
        <v>I</v>
      </c>
      <c r="C11" s="14">
        <f aca="true" t="shared" si="2" ref="C11:C29">1*G11</f>
        <v>47151.425</v>
      </c>
      <c r="D11" s="16" t="str">
        <f aca="true" t="shared" si="3" ref="D11:D29">VLOOKUP(F11,I$1:J$5,2,FALSE)</f>
        <v>vis</v>
      </c>
      <c r="E11" s="24">
        <f>VLOOKUP(C11,A!C$21:E$973,3,FALSE)</f>
        <v>4954.0753679331765</v>
      </c>
      <c r="F11" s="6" t="s">
        <v>49</v>
      </c>
      <c r="G11" s="16" t="str">
        <f aca="true" t="shared" si="4" ref="G11:G29">MID(I11,3,LEN(I11)-3)</f>
        <v>47151.425</v>
      </c>
      <c r="H11" s="14">
        <f aca="true" t="shared" si="5" ref="H11:H29">1*K11</f>
        <v>4954</v>
      </c>
      <c r="I11" s="25" t="s">
        <v>106</v>
      </c>
      <c r="J11" s="26" t="s">
        <v>107</v>
      </c>
      <c r="K11" s="25">
        <v>4954</v>
      </c>
      <c r="L11" s="25" t="s">
        <v>108</v>
      </c>
      <c r="M11" s="26" t="s">
        <v>109</v>
      </c>
      <c r="N11" s="26"/>
      <c r="O11" s="27" t="s">
        <v>110</v>
      </c>
      <c r="P11" s="27" t="s">
        <v>111</v>
      </c>
    </row>
    <row r="12" spans="1:16" ht="12.75" customHeight="1" thickBot="1">
      <c r="A12" s="14" t="str">
        <f t="shared" si="0"/>
        <v> BBS 117 </v>
      </c>
      <c r="B12" s="6" t="str">
        <f t="shared" si="1"/>
        <v>I</v>
      </c>
      <c r="C12" s="14">
        <f t="shared" si="2"/>
        <v>50883.331</v>
      </c>
      <c r="D12" s="16" t="str">
        <f t="shared" si="3"/>
        <v>vis</v>
      </c>
      <c r="E12" s="24">
        <f>VLOOKUP(C12,A!C$21:E$973,3,FALSE)</f>
        <v>5876.077734761996</v>
      </c>
      <c r="F12" s="6" t="s">
        <v>49</v>
      </c>
      <c r="G12" s="16" t="str">
        <f t="shared" si="4"/>
        <v>50883.331</v>
      </c>
      <c r="H12" s="14">
        <f t="shared" si="5"/>
        <v>5876</v>
      </c>
      <c r="I12" s="25" t="s">
        <v>112</v>
      </c>
      <c r="J12" s="26" t="s">
        <v>113</v>
      </c>
      <c r="K12" s="25">
        <v>5876</v>
      </c>
      <c r="L12" s="25" t="s">
        <v>114</v>
      </c>
      <c r="M12" s="26" t="s">
        <v>109</v>
      </c>
      <c r="N12" s="26"/>
      <c r="O12" s="27" t="s">
        <v>115</v>
      </c>
      <c r="P12" s="27" t="s">
        <v>116</v>
      </c>
    </row>
    <row r="13" spans="1:16" ht="12.75" customHeight="1" thickBot="1">
      <c r="A13" s="14" t="str">
        <f t="shared" si="0"/>
        <v> VSS 2.69 </v>
      </c>
      <c r="B13" s="6" t="str">
        <f t="shared" si="1"/>
        <v>I</v>
      </c>
      <c r="C13" s="14">
        <f t="shared" si="2"/>
        <v>27099.37</v>
      </c>
      <c r="D13" s="16" t="str">
        <f t="shared" si="3"/>
        <v>vis</v>
      </c>
      <c r="E13" s="24">
        <f>VLOOKUP(C13,A!C$21:E$973,3,FALSE)</f>
        <v>0.027176531335919737</v>
      </c>
      <c r="F13" s="6" t="s">
        <v>49</v>
      </c>
      <c r="G13" s="16" t="str">
        <f t="shared" si="4"/>
        <v>27099.37</v>
      </c>
      <c r="H13" s="14">
        <f t="shared" si="5"/>
        <v>0</v>
      </c>
      <c r="I13" s="25" t="s">
        <v>52</v>
      </c>
      <c r="J13" s="26" t="s">
        <v>53</v>
      </c>
      <c r="K13" s="25">
        <v>0</v>
      </c>
      <c r="L13" s="25" t="s">
        <v>54</v>
      </c>
      <c r="M13" s="26" t="s">
        <v>55</v>
      </c>
      <c r="N13" s="26"/>
      <c r="O13" s="27" t="s">
        <v>56</v>
      </c>
      <c r="P13" s="27" t="s">
        <v>57</v>
      </c>
    </row>
    <row r="14" spans="1:16" ht="12.75" customHeight="1" thickBot="1">
      <c r="A14" s="14" t="str">
        <f t="shared" si="0"/>
        <v> VSS 2.69 </v>
      </c>
      <c r="B14" s="6" t="str">
        <f t="shared" si="1"/>
        <v>I</v>
      </c>
      <c r="C14" s="14">
        <f t="shared" si="2"/>
        <v>27718.56</v>
      </c>
      <c r="D14" s="16" t="str">
        <f t="shared" si="3"/>
        <v>vis</v>
      </c>
      <c r="E14" s="24">
        <f>VLOOKUP(C14,A!C$21:E$973,3,FALSE)</f>
        <v>153.0038714204192</v>
      </c>
      <c r="F14" s="6" t="s">
        <v>49</v>
      </c>
      <c r="G14" s="16" t="str">
        <f t="shared" si="4"/>
        <v>27718.56</v>
      </c>
      <c r="H14" s="14">
        <f t="shared" si="5"/>
        <v>153</v>
      </c>
      <c r="I14" s="25" t="s">
        <v>58</v>
      </c>
      <c r="J14" s="26" t="s">
        <v>59</v>
      </c>
      <c r="K14" s="25">
        <v>153</v>
      </c>
      <c r="L14" s="25" t="s">
        <v>60</v>
      </c>
      <c r="M14" s="26" t="s">
        <v>55</v>
      </c>
      <c r="N14" s="26"/>
      <c r="O14" s="27" t="s">
        <v>56</v>
      </c>
      <c r="P14" s="27" t="s">
        <v>57</v>
      </c>
    </row>
    <row r="15" spans="1:16" ht="12.75" customHeight="1" thickBot="1">
      <c r="A15" s="14" t="str">
        <f t="shared" si="0"/>
        <v> VSS 2.69 </v>
      </c>
      <c r="B15" s="6" t="str">
        <f t="shared" si="1"/>
        <v>I</v>
      </c>
      <c r="C15" s="14">
        <f t="shared" si="2"/>
        <v>28127.48</v>
      </c>
      <c r="D15" s="16" t="str">
        <f t="shared" si="3"/>
        <v>vis</v>
      </c>
      <c r="E15" s="24">
        <f>VLOOKUP(C15,A!C$21:E$973,3,FALSE)</f>
        <v>254.0313913642869</v>
      </c>
      <c r="F15" s="6" t="s">
        <v>49</v>
      </c>
      <c r="G15" s="16" t="str">
        <f t="shared" si="4"/>
        <v>28127.48</v>
      </c>
      <c r="H15" s="14">
        <f t="shared" si="5"/>
        <v>254</v>
      </c>
      <c r="I15" s="25" t="s">
        <v>61</v>
      </c>
      <c r="J15" s="26" t="s">
        <v>62</v>
      </c>
      <c r="K15" s="25">
        <v>254</v>
      </c>
      <c r="L15" s="25" t="s">
        <v>63</v>
      </c>
      <c r="M15" s="26" t="s">
        <v>55</v>
      </c>
      <c r="N15" s="26"/>
      <c r="O15" s="27" t="s">
        <v>56</v>
      </c>
      <c r="P15" s="27" t="s">
        <v>57</v>
      </c>
    </row>
    <row r="16" spans="1:16" ht="12.75" customHeight="1" thickBot="1">
      <c r="A16" s="14" t="str">
        <f t="shared" si="0"/>
        <v> VSS 2.69 </v>
      </c>
      <c r="B16" s="6" t="str">
        <f t="shared" si="1"/>
        <v>I</v>
      </c>
      <c r="C16" s="14">
        <f t="shared" si="2"/>
        <v>28220.3</v>
      </c>
      <c r="D16" s="16" t="str">
        <f t="shared" si="3"/>
        <v>vis</v>
      </c>
      <c r="E16" s="24">
        <f>VLOOKUP(C16,A!C$21:E$973,3,FALSE)</f>
        <v>276.9634426241661</v>
      </c>
      <c r="F16" s="6" t="s">
        <v>49</v>
      </c>
      <c r="G16" s="16" t="str">
        <f t="shared" si="4"/>
        <v>28220.30</v>
      </c>
      <c r="H16" s="14">
        <f t="shared" si="5"/>
        <v>277</v>
      </c>
      <c r="I16" s="25" t="s">
        <v>64</v>
      </c>
      <c r="J16" s="26" t="s">
        <v>65</v>
      </c>
      <c r="K16" s="25">
        <v>277</v>
      </c>
      <c r="L16" s="25" t="s">
        <v>66</v>
      </c>
      <c r="M16" s="26" t="s">
        <v>55</v>
      </c>
      <c r="N16" s="26"/>
      <c r="O16" s="27" t="s">
        <v>56</v>
      </c>
      <c r="P16" s="27" t="s">
        <v>57</v>
      </c>
    </row>
    <row r="17" spans="1:16" ht="12.75" customHeight="1" thickBot="1">
      <c r="A17" s="14" t="str">
        <f t="shared" si="0"/>
        <v> VSS 2.69 </v>
      </c>
      <c r="B17" s="6" t="str">
        <f t="shared" si="1"/>
        <v>I</v>
      </c>
      <c r="C17" s="14">
        <f t="shared" si="2"/>
        <v>28629.34</v>
      </c>
      <c r="D17" s="16" t="str">
        <f t="shared" si="3"/>
        <v>vis</v>
      </c>
      <c r="E17" s="24">
        <f>VLOOKUP(C17,A!C$21:E$973,3,FALSE)</f>
        <v>378.020609693128</v>
      </c>
      <c r="F17" s="6" t="s">
        <v>49</v>
      </c>
      <c r="G17" s="16" t="str">
        <f t="shared" si="4"/>
        <v>28629.34</v>
      </c>
      <c r="H17" s="14">
        <f t="shared" si="5"/>
        <v>378</v>
      </c>
      <c r="I17" s="25" t="s">
        <v>67</v>
      </c>
      <c r="J17" s="26" t="s">
        <v>68</v>
      </c>
      <c r="K17" s="25">
        <v>378</v>
      </c>
      <c r="L17" s="25" t="s">
        <v>69</v>
      </c>
      <c r="M17" s="26" t="s">
        <v>55</v>
      </c>
      <c r="N17" s="26"/>
      <c r="O17" s="27" t="s">
        <v>56</v>
      </c>
      <c r="P17" s="27" t="s">
        <v>57</v>
      </c>
    </row>
    <row r="18" spans="1:16" ht="12.75" customHeight="1" thickBot="1">
      <c r="A18" s="14" t="str">
        <f t="shared" si="0"/>
        <v> VSS 2.69 </v>
      </c>
      <c r="B18" s="6" t="str">
        <f t="shared" si="1"/>
        <v>I</v>
      </c>
      <c r="C18" s="14">
        <f t="shared" si="2"/>
        <v>28835.66</v>
      </c>
      <c r="D18" s="16" t="str">
        <f t="shared" si="3"/>
        <v>vis</v>
      </c>
      <c r="E18" s="24">
        <f>VLOOKUP(C18,A!C$21:E$973,3,FALSE)</f>
        <v>428.99390010401237</v>
      </c>
      <c r="F18" s="6" t="s">
        <v>49</v>
      </c>
      <c r="G18" s="16" t="str">
        <f t="shared" si="4"/>
        <v>28835.66</v>
      </c>
      <c r="H18" s="14">
        <f t="shared" si="5"/>
        <v>429</v>
      </c>
      <c r="I18" s="25" t="s">
        <v>70</v>
      </c>
      <c r="J18" s="26" t="s">
        <v>71</v>
      </c>
      <c r="K18" s="25">
        <v>429</v>
      </c>
      <c r="L18" s="25" t="s">
        <v>72</v>
      </c>
      <c r="M18" s="26" t="s">
        <v>55</v>
      </c>
      <c r="N18" s="26"/>
      <c r="O18" s="27" t="s">
        <v>56</v>
      </c>
      <c r="P18" s="27" t="s">
        <v>57</v>
      </c>
    </row>
    <row r="19" spans="1:16" ht="12.75" customHeight="1" thickBot="1">
      <c r="A19" s="14" t="str">
        <f t="shared" si="0"/>
        <v> VSS 2.69 </v>
      </c>
      <c r="B19" s="6" t="str">
        <f t="shared" si="1"/>
        <v>I</v>
      </c>
      <c r="C19" s="14">
        <f t="shared" si="2"/>
        <v>29313.29</v>
      </c>
      <c r="D19" s="16" t="str">
        <f t="shared" si="3"/>
        <v>vis</v>
      </c>
      <c r="E19" s="24">
        <f>VLOOKUP(C19,A!C$21:E$973,3,FALSE)</f>
        <v>546.9968697577095</v>
      </c>
      <c r="F19" s="6" t="s">
        <v>49</v>
      </c>
      <c r="G19" s="16" t="str">
        <f t="shared" si="4"/>
        <v>29313.29</v>
      </c>
      <c r="H19" s="14">
        <f t="shared" si="5"/>
        <v>547</v>
      </c>
      <c r="I19" s="25" t="s">
        <v>73</v>
      </c>
      <c r="J19" s="26" t="s">
        <v>74</v>
      </c>
      <c r="K19" s="25">
        <v>547</v>
      </c>
      <c r="L19" s="25" t="s">
        <v>75</v>
      </c>
      <c r="M19" s="26" t="s">
        <v>55</v>
      </c>
      <c r="N19" s="26"/>
      <c r="O19" s="27" t="s">
        <v>56</v>
      </c>
      <c r="P19" s="27" t="s">
        <v>57</v>
      </c>
    </row>
    <row r="20" spans="1:16" ht="12.75" customHeight="1" thickBot="1">
      <c r="A20" s="14" t="str">
        <f t="shared" si="0"/>
        <v> VSS 2.69 </v>
      </c>
      <c r="B20" s="6" t="str">
        <f t="shared" si="1"/>
        <v>I</v>
      </c>
      <c r="C20" s="14">
        <f t="shared" si="2"/>
        <v>30705.64</v>
      </c>
      <c r="D20" s="16" t="str">
        <f t="shared" si="3"/>
        <v>vis</v>
      </c>
      <c r="E20" s="24">
        <f>VLOOKUP(C20,A!C$21:E$973,3,FALSE)</f>
        <v>890.9899916246875</v>
      </c>
      <c r="F20" s="6" t="s">
        <v>49</v>
      </c>
      <c r="G20" s="16" t="str">
        <f t="shared" si="4"/>
        <v>30705.64</v>
      </c>
      <c r="H20" s="14">
        <f t="shared" si="5"/>
        <v>891</v>
      </c>
      <c r="I20" s="25" t="s">
        <v>76</v>
      </c>
      <c r="J20" s="26" t="s">
        <v>77</v>
      </c>
      <c r="K20" s="25">
        <v>891</v>
      </c>
      <c r="L20" s="25" t="s">
        <v>78</v>
      </c>
      <c r="M20" s="26" t="s">
        <v>55</v>
      </c>
      <c r="N20" s="26"/>
      <c r="O20" s="27" t="s">
        <v>56</v>
      </c>
      <c r="P20" s="27" t="s">
        <v>57</v>
      </c>
    </row>
    <row r="21" spans="1:16" ht="12.75" customHeight="1" thickBot="1">
      <c r="A21" s="14" t="str">
        <f t="shared" si="0"/>
        <v> VSS 2.69 </v>
      </c>
      <c r="B21" s="6" t="str">
        <f t="shared" si="1"/>
        <v>I</v>
      </c>
      <c r="C21" s="14">
        <f t="shared" si="2"/>
        <v>31029.51</v>
      </c>
      <c r="D21" s="16" t="str">
        <f t="shared" si="3"/>
        <v>vis</v>
      </c>
      <c r="E21" s="24">
        <f>VLOOKUP(C21,A!C$21:E$973,3,FALSE)</f>
        <v>971.0051116584849</v>
      </c>
      <c r="F21" s="6" t="s">
        <v>49</v>
      </c>
      <c r="G21" s="16" t="str">
        <f t="shared" si="4"/>
        <v>31029.51</v>
      </c>
      <c r="H21" s="14">
        <f t="shared" si="5"/>
        <v>971</v>
      </c>
      <c r="I21" s="25" t="s">
        <v>79</v>
      </c>
      <c r="J21" s="26" t="s">
        <v>80</v>
      </c>
      <c r="K21" s="25">
        <v>971</v>
      </c>
      <c r="L21" s="25" t="s">
        <v>60</v>
      </c>
      <c r="M21" s="26" t="s">
        <v>55</v>
      </c>
      <c r="N21" s="26"/>
      <c r="O21" s="27" t="s">
        <v>56</v>
      </c>
      <c r="P21" s="27" t="s">
        <v>57</v>
      </c>
    </row>
    <row r="22" spans="1:16" ht="12.75" customHeight="1" thickBot="1">
      <c r="A22" s="14" t="str">
        <f t="shared" si="0"/>
        <v> VSS 2.69 </v>
      </c>
      <c r="B22" s="6" t="str">
        <f t="shared" si="1"/>
        <v>I</v>
      </c>
      <c r="C22" s="14">
        <f t="shared" si="2"/>
        <v>31470.65</v>
      </c>
      <c r="D22" s="16" t="str">
        <f t="shared" si="3"/>
        <v>vis</v>
      </c>
      <c r="E22" s="24">
        <f>VLOOKUP(C22,A!C$21:E$973,3,FALSE)</f>
        <v>1079.9928846899784</v>
      </c>
      <c r="F22" s="6" t="s">
        <v>49</v>
      </c>
      <c r="G22" s="16" t="str">
        <f t="shared" si="4"/>
        <v>31470.65</v>
      </c>
      <c r="H22" s="14">
        <f t="shared" si="5"/>
        <v>1080</v>
      </c>
      <c r="I22" s="25" t="s">
        <v>81</v>
      </c>
      <c r="J22" s="26" t="s">
        <v>82</v>
      </c>
      <c r="K22" s="25">
        <v>1080</v>
      </c>
      <c r="L22" s="25" t="s">
        <v>83</v>
      </c>
      <c r="M22" s="26" t="s">
        <v>55</v>
      </c>
      <c r="N22" s="26"/>
      <c r="O22" s="27" t="s">
        <v>56</v>
      </c>
      <c r="P22" s="27" t="s">
        <v>57</v>
      </c>
    </row>
    <row r="23" spans="1:16" ht="12.75" customHeight="1" thickBot="1">
      <c r="A23" s="14" t="str">
        <f t="shared" si="0"/>
        <v> VSS 2.69 </v>
      </c>
      <c r="B23" s="6" t="str">
        <f t="shared" si="1"/>
        <v>I</v>
      </c>
      <c r="C23" s="14">
        <f t="shared" si="2"/>
        <v>32211.45</v>
      </c>
      <c r="D23" s="16" t="str">
        <f t="shared" si="3"/>
        <v>vis</v>
      </c>
      <c r="E23" s="24">
        <f>VLOOKUP(C23,A!C$21:E$973,3,FALSE)</f>
        <v>1263.01447026764</v>
      </c>
      <c r="F23" s="6" t="s">
        <v>49</v>
      </c>
      <c r="G23" s="16" t="str">
        <f t="shared" si="4"/>
        <v>32211.45</v>
      </c>
      <c r="H23" s="14">
        <f t="shared" si="5"/>
        <v>1263</v>
      </c>
      <c r="I23" s="25" t="s">
        <v>84</v>
      </c>
      <c r="J23" s="26" t="s">
        <v>85</v>
      </c>
      <c r="K23" s="25">
        <v>1263</v>
      </c>
      <c r="L23" s="25" t="s">
        <v>86</v>
      </c>
      <c r="M23" s="26" t="s">
        <v>55</v>
      </c>
      <c r="N23" s="26"/>
      <c r="O23" s="27" t="s">
        <v>56</v>
      </c>
      <c r="P23" s="27" t="s">
        <v>57</v>
      </c>
    </row>
    <row r="24" spans="1:16" ht="12.75" customHeight="1" thickBot="1">
      <c r="A24" s="14" t="str">
        <f t="shared" si="0"/>
        <v> VSS 2.69 </v>
      </c>
      <c r="B24" s="6" t="str">
        <f t="shared" si="1"/>
        <v>I</v>
      </c>
      <c r="C24" s="14">
        <f t="shared" si="2"/>
        <v>33239.5</v>
      </c>
      <c r="D24" s="16" t="str">
        <f t="shared" si="3"/>
        <v>vis</v>
      </c>
      <c r="E24" s="24">
        <f>VLOOKUP(C24,A!C$21:E$973,3,FALSE)</f>
        <v>1517.003861538044</v>
      </c>
      <c r="F24" s="6" t="s">
        <v>49</v>
      </c>
      <c r="G24" s="16" t="str">
        <f t="shared" si="4"/>
        <v>33239.50</v>
      </c>
      <c r="H24" s="14">
        <f t="shared" si="5"/>
        <v>1517</v>
      </c>
      <c r="I24" s="25" t="s">
        <v>87</v>
      </c>
      <c r="J24" s="26" t="s">
        <v>88</v>
      </c>
      <c r="K24" s="25">
        <v>1517</v>
      </c>
      <c r="L24" s="25" t="s">
        <v>60</v>
      </c>
      <c r="M24" s="26" t="s">
        <v>55</v>
      </c>
      <c r="N24" s="26"/>
      <c r="O24" s="27" t="s">
        <v>56</v>
      </c>
      <c r="P24" s="27" t="s">
        <v>57</v>
      </c>
    </row>
    <row r="25" spans="1:16" ht="12.75" customHeight="1" thickBot="1">
      <c r="A25" s="14" t="str">
        <f t="shared" si="0"/>
        <v> CLVO 39.62 </v>
      </c>
      <c r="B25" s="6" t="str">
        <f t="shared" si="1"/>
        <v>I</v>
      </c>
      <c r="C25" s="14">
        <f t="shared" si="2"/>
        <v>35862.283</v>
      </c>
      <c r="D25" s="16" t="str">
        <f t="shared" si="3"/>
        <v>vis</v>
      </c>
      <c r="E25" s="24">
        <f>VLOOKUP(C25,A!C$21:E$973,3,FALSE)</f>
        <v>2164.9869923238666</v>
      </c>
      <c r="F25" s="6" t="s">
        <v>49</v>
      </c>
      <c r="G25" s="16" t="str">
        <f t="shared" si="4"/>
        <v>35862.283</v>
      </c>
      <c r="H25" s="14">
        <f t="shared" si="5"/>
        <v>2165</v>
      </c>
      <c r="I25" s="25" t="s">
        <v>89</v>
      </c>
      <c r="J25" s="26" t="s">
        <v>90</v>
      </c>
      <c r="K25" s="25">
        <v>2165</v>
      </c>
      <c r="L25" s="25" t="s">
        <v>91</v>
      </c>
      <c r="M25" s="26" t="s">
        <v>55</v>
      </c>
      <c r="N25" s="26"/>
      <c r="O25" s="27" t="s">
        <v>92</v>
      </c>
      <c r="P25" s="27" t="s">
        <v>93</v>
      </c>
    </row>
    <row r="26" spans="1:16" ht="12.75" customHeight="1" thickBot="1">
      <c r="A26" s="14" t="str">
        <f t="shared" si="0"/>
        <v> CLVO 39.62 </v>
      </c>
      <c r="B26" s="6" t="str">
        <f t="shared" si="1"/>
        <v>I</v>
      </c>
      <c r="C26" s="14">
        <f t="shared" si="2"/>
        <v>35931.27</v>
      </c>
      <c r="D26" s="16" t="str">
        <f t="shared" si="3"/>
        <v>vis</v>
      </c>
      <c r="E26" s="24">
        <f>VLOOKUP(C26,A!C$21:E$973,3,FALSE)</f>
        <v>2182.0308774807845</v>
      </c>
      <c r="F26" s="6" t="s">
        <v>49</v>
      </c>
      <c r="G26" s="16" t="str">
        <f t="shared" si="4"/>
        <v>35931.270</v>
      </c>
      <c r="H26" s="14">
        <f t="shared" si="5"/>
        <v>2182</v>
      </c>
      <c r="I26" s="25" t="s">
        <v>94</v>
      </c>
      <c r="J26" s="26" t="s">
        <v>95</v>
      </c>
      <c r="K26" s="25">
        <v>2182</v>
      </c>
      <c r="L26" s="25" t="s">
        <v>96</v>
      </c>
      <c r="M26" s="26" t="s">
        <v>55</v>
      </c>
      <c r="N26" s="26"/>
      <c r="O26" s="27" t="s">
        <v>92</v>
      </c>
      <c r="P26" s="27" t="s">
        <v>93</v>
      </c>
    </row>
    <row r="27" spans="1:16" ht="12.75" customHeight="1" thickBot="1">
      <c r="A27" s="14" t="str">
        <f t="shared" si="0"/>
        <v> CLVO 39.62 </v>
      </c>
      <c r="B27" s="6" t="str">
        <f t="shared" si="1"/>
        <v>I</v>
      </c>
      <c r="C27" s="14">
        <f t="shared" si="2"/>
        <v>36194.329</v>
      </c>
      <c r="D27" s="16" t="str">
        <f t="shared" si="3"/>
        <v>vis</v>
      </c>
      <c r="E27" s="24">
        <f>VLOOKUP(C27,A!C$21:E$973,3,FALSE)</f>
        <v>2247.0220698140383</v>
      </c>
      <c r="F27" s="6" t="s">
        <v>49</v>
      </c>
      <c r="G27" s="16" t="str">
        <f t="shared" si="4"/>
        <v>36194.329</v>
      </c>
      <c r="H27" s="14">
        <f t="shared" si="5"/>
        <v>2247</v>
      </c>
      <c r="I27" s="25" t="s">
        <v>97</v>
      </c>
      <c r="J27" s="26" t="s">
        <v>98</v>
      </c>
      <c r="K27" s="25">
        <v>2247</v>
      </c>
      <c r="L27" s="25" t="s">
        <v>99</v>
      </c>
      <c r="M27" s="26" t="s">
        <v>55</v>
      </c>
      <c r="N27" s="26"/>
      <c r="O27" s="27" t="s">
        <v>92</v>
      </c>
      <c r="P27" s="27" t="s">
        <v>93</v>
      </c>
    </row>
    <row r="28" spans="1:16" ht="12.75" customHeight="1" thickBot="1">
      <c r="A28" s="14" t="str">
        <f t="shared" si="0"/>
        <v> CLVO 39.62 </v>
      </c>
      <c r="B28" s="6" t="str">
        <f t="shared" si="1"/>
        <v>I</v>
      </c>
      <c r="C28" s="14">
        <f t="shared" si="2"/>
        <v>36287.37</v>
      </c>
      <c r="D28" s="16" t="str">
        <f t="shared" si="3"/>
        <v>vis</v>
      </c>
      <c r="E28" s="24">
        <f>VLOOKUP(C28,A!C$21:E$973,3,FALSE)</f>
        <v>2270.0087211959662</v>
      </c>
      <c r="F28" s="6" t="s">
        <v>49</v>
      </c>
      <c r="G28" s="16" t="str">
        <f t="shared" si="4"/>
        <v>36287.370</v>
      </c>
      <c r="H28" s="14">
        <f t="shared" si="5"/>
        <v>2270</v>
      </c>
      <c r="I28" s="25" t="s">
        <v>100</v>
      </c>
      <c r="J28" s="26" t="s">
        <v>101</v>
      </c>
      <c r="K28" s="25">
        <v>2270</v>
      </c>
      <c r="L28" s="25" t="s">
        <v>102</v>
      </c>
      <c r="M28" s="26" t="s">
        <v>55</v>
      </c>
      <c r="N28" s="26"/>
      <c r="O28" s="27" t="s">
        <v>92</v>
      </c>
      <c r="P28" s="27" t="s">
        <v>93</v>
      </c>
    </row>
    <row r="29" spans="1:16" ht="12.75" customHeight="1" thickBot="1">
      <c r="A29" s="14" t="str">
        <f t="shared" si="0"/>
        <v> CLVO 39.62 </v>
      </c>
      <c r="B29" s="6" t="str">
        <f t="shared" si="1"/>
        <v>I</v>
      </c>
      <c r="C29" s="14">
        <f t="shared" si="2"/>
        <v>36631.388</v>
      </c>
      <c r="D29" s="16" t="str">
        <f t="shared" si="3"/>
        <v>vis</v>
      </c>
      <c r="E29" s="24">
        <f>VLOOKUP(C29,A!C$21:E$973,3,FALSE)</f>
        <v>2355.0015935329743</v>
      </c>
      <c r="F29" s="6" t="s">
        <v>49</v>
      </c>
      <c r="G29" s="16" t="str">
        <f t="shared" si="4"/>
        <v>36631.388</v>
      </c>
      <c r="H29" s="14">
        <f t="shared" si="5"/>
        <v>2355</v>
      </c>
      <c r="I29" s="25" t="s">
        <v>103</v>
      </c>
      <c r="J29" s="26" t="s">
        <v>104</v>
      </c>
      <c r="K29" s="25">
        <v>2355</v>
      </c>
      <c r="L29" s="25" t="s">
        <v>105</v>
      </c>
      <c r="M29" s="26" t="s">
        <v>51</v>
      </c>
      <c r="N29" s="26"/>
      <c r="O29" s="27" t="s">
        <v>92</v>
      </c>
      <c r="P29" s="27" t="s">
        <v>93</v>
      </c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2022-11-20T04:13:39Z</dcterms:modified>
  <cp:category/>
  <cp:version/>
  <cp:contentType/>
  <cp:contentStatus/>
</cp:coreProperties>
</file>