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2760" windowWidth="21255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<sst xmlns="http://schemas.openxmlformats.org/spreadsheetml/2006/main" count="671" uniqueCount="285">
  <si>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</si>
  <si>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</si>
  <si>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</si>
  <si>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</si>
  <si>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</si>
  <si>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</si>
  <si>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</si>
  <si>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</si>
  <si>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</si>
  <si>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</si>
  <si>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</si>
  <si>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</si>
  <si>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</si>
  <si>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</si>
  <si>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</si>
  <si>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</si>
  <si>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</si>
  <si>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</si>
  <si>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</si>
  <si>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</si>
  <si>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</si>
  <si>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</si>
  <si>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</si>
  <si>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</si>
  <si>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</si>
  <si>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</si>
  <si>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</si>
  <si>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</si>
  <si>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</si>
  <si>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</si>
  <si>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EB/KE</t>
  </si>
  <si>
    <t>IBVS 5583</t>
  </si>
  <si>
    <t>I</t>
  </si>
  <si>
    <t>IBVS 5603</t>
  </si>
  <si>
    <t># of data points:</t>
  </si>
  <si>
    <t>MX Mon / GSC 04823-00688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</si>
  <si>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</si>
  <si>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</si>
  <si>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</si>
  <si>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</si>
  <si>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</si>
  <si>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</si>
  <si>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</si>
  <si>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5874</t>
  </si>
  <si>
    <t>II</t>
  </si>
  <si>
    <t>IBVS 6029</t>
  </si>
  <si>
    <t>2013JAVSO..41..122</t>
  </si>
  <si>
    <t>JAVSO</t>
  </si>
  <si>
    <t>BAD?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</si>
  <si>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</si>
  <si>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</si>
  <si>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</si>
  <si>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</si>
  <si>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</si>
  <si>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</si>
  <si>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</si>
  <si>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</si>
  <si>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</si>
  <si>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</si>
  <si>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</si>
  <si>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</si>
  <si>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</si>
  <si>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2425302.460 </t>
  </si>
  <si>
    <t> 25.02.1928 23:02 </t>
  </si>
  <si>
    <t> 0.013 </t>
  </si>
  <si>
    <t>P </t>
  </si>
  <si>
    <t> H.Huth </t>
  </si>
  <si>
    <t> VSS 4.271 </t>
  </si>
  <si>
    <t>2425322.329 </t>
  </si>
  <si>
    <t> 16.03.1928 19:53 </t>
  </si>
  <si>
    <t> -0.025 </t>
  </si>
  <si>
    <t>2426331.425 </t>
  </si>
  <si>
    <t> 20.12.1930 22:12 </t>
  </si>
  <si>
    <t> -0.004 </t>
  </si>
  <si>
    <t>2427368.631 </t>
  </si>
  <si>
    <t> 23.10.1933 03:08 </t>
  </si>
  <si>
    <t> -0.016 </t>
  </si>
  <si>
    <t>2427421.502 </t>
  </si>
  <si>
    <t> 15.12.1933 00:02 </t>
  </si>
  <si>
    <t> -0.002 </t>
  </si>
  <si>
    <t>2427472.337 </t>
  </si>
  <si>
    <t> 03.02.1934 20:05 </t>
  </si>
  <si>
    <t> 0.036 </t>
  </si>
  <si>
    <t>2429634.564 </t>
  </si>
  <si>
    <t> 06.01.1940 01:32 </t>
  </si>
  <si>
    <t> -0.039 </t>
  </si>
  <si>
    <t>2429639.359 </t>
  </si>
  <si>
    <t> 10.01.1940 20:36 </t>
  </si>
  <si>
    <t> -0.049 </t>
  </si>
  <si>
    <t> F.Bertiau </t>
  </si>
  <si>
    <t> AOLD 20.362 </t>
  </si>
  <si>
    <t>2429670.310 </t>
  </si>
  <si>
    <t> 10.02.1940 19:26 </t>
  </si>
  <si>
    <t> 0.012 </t>
  </si>
  <si>
    <t>2429696.329 </t>
  </si>
  <si>
    <t> 07.03.1940 19:53 </t>
  </si>
  <si>
    <t> -0.054 </t>
  </si>
  <si>
    <t>2429963.401 </t>
  </si>
  <si>
    <t> 29.11.1940 21:37 </t>
  </si>
  <si>
    <t> -0.009 </t>
  </si>
  <si>
    <t>2429994.333 </t>
  </si>
  <si>
    <t> 30.12.1940 19:59 </t>
  </si>
  <si>
    <t> 0.033 </t>
  </si>
  <si>
    <t>2429996.374 </t>
  </si>
  <si>
    <t> 01.01.1941 20:58 </t>
  </si>
  <si>
    <t> 0.014 </t>
  </si>
  <si>
    <t>2430000.473 </t>
  </si>
  <si>
    <t> 05.01.1941 23:21 </t>
  </si>
  <si>
    <t> -0.005 </t>
  </si>
  <si>
    <t>2430022.430 </t>
  </si>
  <si>
    <t> 27.01.1941 22:19 </t>
  </si>
  <si>
    <t> -0.015 </t>
  </si>
  <si>
    <t>2430051.271 </t>
  </si>
  <si>
    <t> 25.02.1941 18:30 </t>
  </si>
  <si>
    <t>2430056.428 </t>
  </si>
  <si>
    <t> 02.03.1941 22:16 </t>
  </si>
  <si>
    <t> 0.004 </t>
  </si>
  <si>
    <t>2430073.245 </t>
  </si>
  <si>
    <t> 19.03.1941 17:52 </t>
  </si>
  <si>
    <t> 0.003 </t>
  </si>
  <si>
    <t>2430075.272 </t>
  </si>
  <si>
    <t> 21.03.1941 18:31 </t>
  </si>
  <si>
    <t> -0.029 </t>
  </si>
  <si>
    <t>2430076.343 </t>
  </si>
  <si>
    <t> 22.03.1941 20:13 </t>
  </si>
  <si>
    <t>2430088.328 </t>
  </si>
  <si>
    <t> 03.04.1941 19:52 </t>
  </si>
  <si>
    <t>2430344.378 </t>
  </si>
  <si>
    <t> 15.12.1941 21:04 </t>
  </si>
  <si>
    <t> -0.010 </t>
  </si>
  <si>
    <t>2430468.267 </t>
  </si>
  <si>
    <t> 18.04.1942 18:24 </t>
  </si>
  <si>
    <t> -0.024 </t>
  </si>
  <si>
    <t>2430500.214 </t>
  </si>
  <si>
    <t> 20.05.1942 17:08 </t>
  </si>
  <si>
    <t>2430668.412 </t>
  </si>
  <si>
    <t> 04.11.1942 21:53 </t>
  </si>
  <si>
    <t> 0.022 </t>
  </si>
  <si>
    <t>2430703.446 </t>
  </si>
  <si>
    <t> 09.12.1942 22:42 </t>
  </si>
  <si>
    <t> 0.048 </t>
  </si>
  <si>
    <t>2430723.339 </t>
  </si>
  <si>
    <t> 29.12.1942 20:08 </t>
  </si>
  <si>
    <t> 0.034 </t>
  </si>
  <si>
    <t>2430758.281 </t>
  </si>
  <si>
    <t> 02.02.1943 18:44 </t>
  </si>
  <si>
    <t> -0.033 </t>
  </si>
  <si>
    <t>2430762.414 </t>
  </si>
  <si>
    <t> 06.02.1943 21:56 </t>
  </si>
  <si>
    <t> -0.019 </t>
  </si>
  <si>
    <t>2430784.380 </t>
  </si>
  <si>
    <t> 28.02.1943 21:07 </t>
  </si>
  <si>
    <t>2430791.250 </t>
  </si>
  <si>
    <t> 07.03.1943 18:00 </t>
  </si>
  <si>
    <t> -0.013 </t>
  </si>
  <si>
    <t>2430793.364 </t>
  </si>
  <si>
    <t> 09.03.1943 20:44 </t>
  </si>
  <si>
    <t> 0.041 </t>
  </si>
  <si>
    <t>2430793.374 </t>
  </si>
  <si>
    <t> 09.03.1943 20:58 </t>
  </si>
  <si>
    <t> 0.051 </t>
  </si>
  <si>
    <t>2430850.250 </t>
  </si>
  <si>
    <t> 05.05.1943 18:00 </t>
  </si>
  <si>
    <t> -0.048 </t>
  </si>
  <si>
    <t>2431852.525 </t>
  </si>
  <si>
    <t> 01.02.1946 00:36 </t>
  </si>
  <si>
    <t> 0.017 </t>
  </si>
  <si>
    <t> A.A.Wachmann </t>
  </si>
  <si>
    <t> AHSB 7.8.426 </t>
  </si>
  <si>
    <t>2432231.445 </t>
  </si>
  <si>
    <t> 14.02.1947 22:40 </t>
  </si>
  <si>
    <t> 0.020 </t>
  </si>
  <si>
    <t>2432233.468 </t>
  </si>
  <si>
    <t> 16.02.1947 23:13 </t>
  </si>
  <si>
    <t> -0.017 </t>
  </si>
  <si>
    <t>2432938.455 </t>
  </si>
  <si>
    <t> 21.01.1949 22:55 </t>
  </si>
  <si>
    <t>2433330.440 </t>
  </si>
  <si>
    <t> 17.02.1950 22:33 </t>
  </si>
  <si>
    <t> 0.016 </t>
  </si>
  <si>
    <t>2434451.375 </t>
  </si>
  <si>
    <t> 14.03.1953 21:00 </t>
  </si>
  <si>
    <t> -0.014 </t>
  </si>
  <si>
    <t>2434785.295 </t>
  </si>
  <si>
    <t> 11.02.1954 19:04 </t>
  </si>
  <si>
    <t> -0.050 </t>
  </si>
  <si>
    <t>2435160.490 </t>
  </si>
  <si>
    <t> 21.02.1955 23:45 </t>
  </si>
  <si>
    <t>2435165.290 </t>
  </si>
  <si>
    <t> 26.02.1955 18:57 </t>
  </si>
  <si>
    <t>2435453.600 </t>
  </si>
  <si>
    <t> 12.12.1955 02:24 </t>
  </si>
  <si>
    <t> 0.001 </t>
  </si>
  <si>
    <t>2435486.525 </t>
  </si>
  <si>
    <t> 14.01.1956 00:36 </t>
  </si>
  <si>
    <t>2446441.456 </t>
  </si>
  <si>
    <t> 10.01.1986 22:56 </t>
  </si>
  <si>
    <t> -0.072 </t>
  </si>
  <si>
    <t>V </t>
  </si>
  <si>
    <t> T.Brelstaff </t>
  </si>
  <si>
    <t> VSSC 67.10 </t>
  </si>
  <si>
    <t>2448682.681 </t>
  </si>
  <si>
    <t> 01.03.1992 04:20 </t>
  </si>
  <si>
    <t> -0.091 </t>
  </si>
  <si>
    <t> M.Baldwin </t>
  </si>
  <si>
    <t> AOEB 6 </t>
  </si>
  <si>
    <t>2449013.558 </t>
  </si>
  <si>
    <t> 26.01.1993 01:23 </t>
  </si>
  <si>
    <t> -0.081 </t>
  </si>
  <si>
    <t>2449037.582 </t>
  </si>
  <si>
    <t> 19.02.1993 01:58 </t>
  </si>
  <si>
    <t> -0.082 </t>
  </si>
  <si>
    <t>2449455.610 </t>
  </si>
  <si>
    <t> 13.04.1994 02:38 </t>
  </si>
  <si>
    <t> -0.099 </t>
  </si>
  <si>
    <t>2449744.624 </t>
  </si>
  <si>
    <t> 27.01.1995 02:58 </t>
  </si>
  <si>
    <t> -0.079 </t>
  </si>
  <si>
    <t>2449755.600 </t>
  </si>
  <si>
    <t> 07.02.1995 02:24 </t>
  </si>
  <si>
    <t> -0.086 </t>
  </si>
  <si>
    <t>2449766.578 </t>
  </si>
  <si>
    <t> 18.02.1995 01:52 </t>
  </si>
  <si>
    <t>2449768.639 </t>
  </si>
  <si>
    <t> 20.02.1995 03:20 </t>
  </si>
  <si>
    <t> -0.089 </t>
  </si>
  <si>
    <t>2450107.744 </t>
  </si>
  <si>
    <t> 25.01.1996 05:51 </t>
  </si>
  <si>
    <t> -0.088 </t>
  </si>
  <si>
    <t>2450519.597 </t>
  </si>
  <si>
    <t> 12.03.1997 02:19 </t>
  </si>
  <si>
    <t> -0.103 </t>
  </si>
  <si>
    <t>2450845.658 </t>
  </si>
  <si>
    <t> 01.02.1998 03:47 </t>
  </si>
  <si>
    <t>2450869.671 </t>
  </si>
  <si>
    <t> 25.02.1998 04:06 </t>
  </si>
  <si>
    <t> -0.116 </t>
  </si>
  <si>
    <t>2450902.626 </t>
  </si>
  <si>
    <t> 30.03.1998 03:01 </t>
  </si>
  <si>
    <t> -0.110 </t>
  </si>
  <si>
    <t>2451555.4556 </t>
  </si>
  <si>
    <t> 11.01.2000 22:56 </t>
  </si>
  <si>
    <t> -0.0898 </t>
  </si>
  <si>
    <t>E </t>
  </si>
  <si>
    <t>?</t>
  </si>
  <si>
    <t> J.Safar </t>
  </si>
  <si>
    <t> BRNO 32 </t>
  </si>
  <si>
    <t>2451609.667 </t>
  </si>
  <si>
    <t> 06.03.2000 04:00 </t>
  </si>
  <si>
    <t> -0.108 </t>
  </si>
  <si>
    <t>2452141.5583 </t>
  </si>
  <si>
    <t> 20.08.2001 01:23 </t>
  </si>
  <si>
    <t> -0.2114 </t>
  </si>
  <si>
    <t> M.Zejda </t>
  </si>
  <si>
    <t>IBVS 5583 </t>
  </si>
  <si>
    <t>2452607.7686 </t>
  </si>
  <si>
    <t> 29.11.2002 06:26 </t>
  </si>
  <si>
    <t> -0.0974 </t>
  </si>
  <si>
    <t>C </t>
  </si>
  <si>
    <t> S.Dvorak </t>
  </si>
  <si>
    <t> JAAVSO 41;122 </t>
  </si>
  <si>
    <t>2453032.6758 </t>
  </si>
  <si>
    <t> 28.01.2004 04:13 </t>
  </si>
  <si>
    <t> -0.0998 </t>
  </si>
  <si>
    <t>IBVS 5603 </t>
  </si>
  <si>
    <t>2454507.4964 </t>
  </si>
  <si>
    <t> 10.02.2008 23:54 </t>
  </si>
  <si>
    <t> -0.1068 </t>
  </si>
  <si>
    <t>-I</t>
  </si>
  <si>
    <t> F.Agerer </t>
  </si>
  <si>
    <t>BAVM 201 </t>
  </si>
  <si>
    <t>2455983.6853 </t>
  </si>
  <si>
    <t> 26.02.2012 04:26 </t>
  </si>
  <si>
    <t>37663</t>
  </si>
  <si>
    <t> -0.1184 </t>
  </si>
  <si>
    <t> R.Diethelm </t>
  </si>
  <si>
    <t>IBVS 6029 </t>
  </si>
  <si>
    <t>2457094.3494 </t>
  </si>
  <si>
    <t> 12.03.2015 20:23 </t>
  </si>
  <si>
    <t>39281</t>
  </si>
  <si>
    <t> -0.1227 </t>
  </si>
  <si>
    <t> G.Maintz </t>
  </si>
  <si>
    <t>BAVM 241 (=IBVS 6157) </t>
  </si>
  <si>
    <t>IBVS 6157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</si>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</sst>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2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MX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JAVSO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0.0028</c:v>
                  </c:pt>
                  <c:pt idx="63">
                    <c:v>0.0001</c:v>
                  </c:pt>
                  <c:pt idx="64">
                    <c:v>0.0002</c:v>
                  </c:pt>
                  <c:pt idx="65">
                    <c:v>0.0013</c:v>
                  </c:pt>
                  <c:pt idx="66">
                    <c:v>0.0002</c:v>
                  </c:pt>
                  <c:pt idx="67">
                    <c:v>0.0008</c:v>
                  </c:pt>
                  <c:pt idx="68">
                    <c:v>0.0014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crossBetween val="midCat"/>
        <c:dispUnits/>
      </c:val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4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31"/>
          <c:w val="0.87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38100</xdr:rowOff>
    </xdr:from>
    <xdr:to>
      <xdr:col>15</xdr:col>
      <xdr:colOff>257175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857625" y="3810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konkoly.hu/cgi-bin/IBVS?5603" TargetMode="External" /><Relationship Id="rId3" Type="http://schemas.openxmlformats.org/officeDocument/2006/relationships/hyperlink" Target="http://www.bav-astro.de/sfs/BAVM_link.php?BAVMnr=201" TargetMode="External" /><Relationship Id="rId4" Type="http://schemas.openxmlformats.org/officeDocument/2006/relationships/hyperlink" Target="http://www.konkoly.hu/cgi-bin/IBVS?6029" TargetMode="External" /><Relationship Id="rId5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35</v>
      </c>
    </row>
    <row r="2" spans="1:2" ht="12.75">
      <c r="A2" t="s">
        <v>24</v>
      </c>
      <c r="B2" t="s">
        <v>30</v>
      </c>
    </row>
    <row r="3" ht="13.5" thickBot="1">
      <c r="C3" s="9"/>
    </row>
    <row r="4" spans="1:4" ht="14.25" thickBot="1" thickTop="1">
      <c r="A4" s="6" t="s">
        <v>0</v>
      </c>
      <c r="C4" s="3">
        <v>30130.2166</v>
      </c>
      <c r="D4" s="4">
        <v>0.68644524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30130.2166</v>
      </c>
    </row>
    <row r="8" spans="1:3" ht="12.75">
      <c r="A8" t="s">
        <v>3</v>
      </c>
      <c r="C8">
        <f>+D4</f>
        <v>0.68644524</v>
      </c>
    </row>
    <row r="9" spans="1:5" ht="12.75">
      <c r="A9" s="12" t="s">
        <v>36</v>
      </c>
      <c r="B9" s="13"/>
      <c r="C9" s="14">
        <v>-9.5</v>
      </c>
      <c r="D9" s="13" t="s">
        <v>37</v>
      </c>
      <c r="E9" s="13"/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7" ht="12.75">
      <c r="A11" s="13" t="s">
        <v>16</v>
      </c>
      <c r="B11" s="13"/>
      <c r="C11" s="15">
        <f ca="1">INTERCEPT(INDIRECT($G$11):G992,INDIRECT($F$11):F992)</f>
        <v>-0.0023632153218130086</v>
      </c>
      <c r="D11" s="16"/>
      <c r="E11" s="13"/>
      <c r="F11" s="17" t="str">
        <f>"F"&amp;E19</f>
        <v>F21</v>
      </c>
      <c r="G11" s="18" t="str">
        <f>"G"&amp;E19</f>
        <v>G21</v>
      </c>
    </row>
    <row r="12" spans="1:5" ht="12.75">
      <c r="A12" s="13" t="s">
        <v>17</v>
      </c>
      <c r="B12" s="13"/>
      <c r="C12" s="15">
        <f ca="1">SLOPE(INDIRECT($G$11):G992,INDIRECT($F$11):F992)</f>
        <v>-3.029461167092767E-06</v>
      </c>
      <c r="D12" s="16"/>
      <c r="E12" s="13"/>
    </row>
    <row r="13" spans="1:5" ht="12.75">
      <c r="A13" s="13" t="s">
        <v>19</v>
      </c>
      <c r="B13" s="13"/>
      <c r="C13" s="16" t="s">
        <v>14</v>
      </c>
      <c r="D13" s="21" t="s">
        <v>49</v>
      </c>
      <c r="E13" s="14">
        <v>1</v>
      </c>
    </row>
    <row r="14" spans="1:5" ht="12.75">
      <c r="A14" s="13"/>
      <c r="B14" s="13"/>
      <c r="C14" s="13"/>
      <c r="D14" s="21" t="s">
        <v>38</v>
      </c>
      <c r="E14" s="22">
        <f ca="1">NOW()+15018.5+$C$9/24</f>
        <v>59903.71860115741</v>
      </c>
    </row>
    <row r="15" spans="1:5" ht="12.75">
      <c r="A15" s="19" t="s">
        <v>18</v>
      </c>
      <c r="B15" s="13"/>
      <c r="C15" s="20">
        <f>(C7+C11)+(C8+C12)*INT(MAX(F21:F3533))</f>
        <v>58126.759793610974</v>
      </c>
      <c r="D15" s="21" t="s">
        <v>50</v>
      </c>
      <c r="E15" s="22">
        <f>ROUND(2*(E14-$C$7)/$C$8,0)/2+E13</f>
        <v>43374.5</v>
      </c>
    </row>
    <row r="16" spans="1:5" ht="12.75">
      <c r="A16" s="23" t="s">
        <v>4</v>
      </c>
      <c r="B16" s="13"/>
      <c r="C16" s="24">
        <f>+C8+C12</f>
        <v>0.6864422105388328</v>
      </c>
      <c r="D16" s="21" t="s">
        <v>39</v>
      </c>
      <c r="E16" s="18">
        <f>ROUND(2*(E14-$C$15)/$C$16,0)/2+E13</f>
        <v>2589.5</v>
      </c>
    </row>
    <row r="17" spans="1:5" ht="13.5" thickBot="1">
      <c r="A17" s="21" t="s">
        <v>34</v>
      </c>
      <c r="B17" s="13"/>
      <c r="C17" s="13">
        <f>COUNT(C21:C2191)</f>
        <v>69</v>
      </c>
      <c r="D17" s="21" t="s">
        <v>40</v>
      </c>
      <c r="E17" s="25">
        <f>+$C$15+$C$16*E16-15018.5-$C$9/24</f>
        <v>44886.19773113462</v>
      </c>
    </row>
    <row r="18" spans="1:5" ht="14.25" thickBot="1" thickTop="1">
      <c r="A18" s="23" t="s">
        <v>5</v>
      </c>
      <c r="B18" s="13"/>
      <c r="C18" s="26">
        <f>+C15</f>
        <v>58126.759793610974</v>
      </c>
      <c r="D18" s="27">
        <f>+C16</f>
        <v>0.6864422105388328</v>
      </c>
      <c r="E18" s="28" t="s">
        <v>41</v>
      </c>
    </row>
    <row r="19" spans="1:5" ht="13.5" thickTop="1">
      <c r="A19" s="29" t="s">
        <v>42</v>
      </c>
      <c r="E19" s="30">
        <v>21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47</v>
      </c>
      <c r="K20" s="8" t="s">
        <v>25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15</v>
      </c>
      <c r="U20" s="39" t="s">
        <v>48</v>
      </c>
    </row>
    <row r="21" spans="1:17" ht="12.75">
      <c r="A21" s="53" t="s">
        <v>67</v>
      </c>
      <c r="B21" s="55" t="s">
        <v>32</v>
      </c>
      <c r="C21" s="54">
        <v>25302.46</v>
      </c>
      <c r="D21" s="31"/>
      <c r="E21" s="34">
        <f aca="true" t="shared" si="0" ref="E21:E52">+(C21-C$7)/C$8</f>
        <v>-7032.981392659961</v>
      </c>
      <c r="F21">
        <f aca="true" t="shared" si="1" ref="F21:F52">ROUND(2*E21,0)/2</f>
        <v>-7033</v>
      </c>
      <c r="G21">
        <f aca="true" t="shared" si="2" ref="G21:G41">+C21-(C$7+F21*C$8)</f>
        <v>0.01277291999940644</v>
      </c>
      <c r="K21">
        <f aca="true" t="shared" si="3" ref="K21:K41">+G21</f>
        <v>0.01277291999940644</v>
      </c>
      <c r="O21">
        <f aca="true" t="shared" si="4" ref="O21:O52">+C$11+C$12*$F21</f>
        <v>0.01894298506635042</v>
      </c>
      <c r="Q21" s="2">
        <f aca="true" t="shared" si="5" ref="Q21:Q52">+C21-15018.5</f>
        <v>10283.96</v>
      </c>
    </row>
    <row r="22" spans="1:17" ht="12.75">
      <c r="A22" s="53" t="s">
        <v>67</v>
      </c>
      <c r="B22" s="55" t="s">
        <v>32</v>
      </c>
      <c r="C22" s="54">
        <v>25322.329</v>
      </c>
      <c r="D22" s="11"/>
      <c r="E22" s="34">
        <f t="shared" si="0"/>
        <v>-7004.036622061795</v>
      </c>
      <c r="F22">
        <f t="shared" si="1"/>
        <v>-7004</v>
      </c>
      <c r="G22">
        <f t="shared" si="2"/>
        <v>-0.025139039997156942</v>
      </c>
      <c r="K22">
        <f t="shared" si="3"/>
        <v>-0.025139039997156942</v>
      </c>
      <c r="O22">
        <f t="shared" si="4"/>
        <v>0.018855130692504732</v>
      </c>
      <c r="Q22" s="2">
        <f t="shared" si="5"/>
        <v>10303.829000000002</v>
      </c>
    </row>
    <row r="23" spans="1:17" ht="12.75">
      <c r="A23" s="53" t="s">
        <v>67</v>
      </c>
      <c r="B23" s="55" t="s">
        <v>32</v>
      </c>
      <c r="C23" s="54">
        <v>26331.425</v>
      </c>
      <c r="D23" s="11"/>
      <c r="E23" s="34">
        <f t="shared" si="0"/>
        <v>-5534.0053053612855</v>
      </c>
      <c r="F23">
        <f t="shared" si="1"/>
        <v>-5534</v>
      </c>
      <c r="G23">
        <f t="shared" si="2"/>
        <v>-0.0036418400013644714</v>
      </c>
      <c r="K23">
        <f t="shared" si="3"/>
        <v>-0.0036418400013644714</v>
      </c>
      <c r="O23">
        <f t="shared" si="4"/>
        <v>0.014401822776878362</v>
      </c>
      <c r="Q23" s="2">
        <f t="shared" si="5"/>
        <v>11312.925</v>
      </c>
    </row>
    <row r="24" spans="1:17" ht="12.75">
      <c r="A24" s="53" t="s">
        <v>67</v>
      </c>
      <c r="B24" s="55" t="s">
        <v>32</v>
      </c>
      <c r="C24" s="54">
        <v>27368.631</v>
      </c>
      <c r="D24" s="11"/>
      <c r="E24" s="34">
        <f t="shared" si="0"/>
        <v>-4023.023890441718</v>
      </c>
      <c r="F24">
        <f t="shared" si="1"/>
        <v>-4023</v>
      </c>
      <c r="G24">
        <f t="shared" si="2"/>
        <v>-0.016399479998653987</v>
      </c>
      <c r="K24">
        <f t="shared" si="3"/>
        <v>-0.016399479998653987</v>
      </c>
      <c r="O24">
        <f t="shared" si="4"/>
        <v>0.009824306953401193</v>
      </c>
      <c r="Q24" s="2">
        <f t="shared" si="5"/>
        <v>12350.131000000001</v>
      </c>
    </row>
    <row r="25" spans="1:17" ht="12.75">
      <c r="A25" s="53" t="s">
        <v>67</v>
      </c>
      <c r="B25" s="55" t="s">
        <v>32</v>
      </c>
      <c r="C25" s="54">
        <v>27421.502</v>
      </c>
      <c r="D25" s="11"/>
      <c r="E25" s="34">
        <f t="shared" si="0"/>
        <v>-3946.0024517032116</v>
      </c>
      <c r="F25">
        <f t="shared" si="1"/>
        <v>-3946</v>
      </c>
      <c r="G25">
        <f t="shared" si="2"/>
        <v>-0.0016829599990160204</v>
      </c>
      <c r="K25">
        <f t="shared" si="3"/>
        <v>-0.0016829599990160204</v>
      </c>
      <c r="O25">
        <f t="shared" si="4"/>
        <v>0.009591038443535049</v>
      </c>
      <c r="Q25" s="2">
        <f t="shared" si="5"/>
        <v>12403.002</v>
      </c>
    </row>
    <row r="26" spans="1:17" ht="12.75">
      <c r="A26" s="53" t="s">
        <v>67</v>
      </c>
      <c r="B26" s="55" t="s">
        <v>32</v>
      </c>
      <c r="C26" s="54">
        <v>27472.337</v>
      </c>
      <c r="D26" s="11"/>
      <c r="E26" s="34">
        <f t="shared" si="0"/>
        <v>-3871.947017944214</v>
      </c>
      <c r="F26">
        <f t="shared" si="1"/>
        <v>-3872</v>
      </c>
      <c r="G26">
        <f t="shared" si="2"/>
        <v>0.03636927999832551</v>
      </c>
      <c r="K26">
        <f t="shared" si="3"/>
        <v>0.03636927999832551</v>
      </c>
      <c r="O26">
        <f t="shared" si="4"/>
        <v>0.009366858317170185</v>
      </c>
      <c r="Q26" s="2">
        <f t="shared" si="5"/>
        <v>12453.837</v>
      </c>
    </row>
    <row r="27" spans="1:17" ht="12.75">
      <c r="A27" s="53" t="s">
        <v>67</v>
      </c>
      <c r="B27" s="55" t="s">
        <v>32</v>
      </c>
      <c r="C27" s="54">
        <v>29634.564</v>
      </c>
      <c r="D27" s="11"/>
      <c r="E27" s="34">
        <f t="shared" si="0"/>
        <v>-722.0570136082541</v>
      </c>
      <c r="F27">
        <f t="shared" si="1"/>
        <v>-722</v>
      </c>
      <c r="G27">
        <f t="shared" si="2"/>
        <v>-0.039136720002716174</v>
      </c>
      <c r="K27">
        <f t="shared" si="3"/>
        <v>-0.039136720002716174</v>
      </c>
      <c r="O27">
        <f t="shared" si="4"/>
        <v>-0.00017594435917203102</v>
      </c>
      <c r="Q27" s="2">
        <f t="shared" si="5"/>
        <v>14616.063999999998</v>
      </c>
    </row>
    <row r="28" spans="1:17" ht="12.75">
      <c r="A28" s="53" t="s">
        <v>90</v>
      </c>
      <c r="B28" s="55" t="s">
        <v>32</v>
      </c>
      <c r="C28" s="54">
        <v>29639.359</v>
      </c>
      <c r="D28" s="11"/>
      <c r="E28" s="34">
        <f t="shared" si="0"/>
        <v>-715.0717513898113</v>
      </c>
      <c r="F28">
        <f t="shared" si="1"/>
        <v>-715</v>
      </c>
      <c r="G28">
        <f t="shared" si="2"/>
        <v>-0.04925340000045253</v>
      </c>
      <c r="K28">
        <f t="shared" si="3"/>
        <v>-0.04925340000045253</v>
      </c>
      <c r="O28">
        <f t="shared" si="4"/>
        <v>-0.00019715058734168017</v>
      </c>
      <c r="Q28" s="2">
        <f t="shared" si="5"/>
        <v>14620.859</v>
      </c>
    </row>
    <row r="29" spans="1:17" ht="12.75">
      <c r="A29" s="53" t="s">
        <v>90</v>
      </c>
      <c r="B29" s="55" t="s">
        <v>32</v>
      </c>
      <c r="C29" s="54">
        <v>29670.31</v>
      </c>
      <c r="D29" s="11"/>
      <c r="E29" s="34">
        <f t="shared" si="0"/>
        <v>-669.9829399355999</v>
      </c>
      <c r="F29">
        <f t="shared" si="1"/>
        <v>-670</v>
      </c>
      <c r="G29">
        <f t="shared" si="2"/>
        <v>0.011710800001310417</v>
      </c>
      <c r="K29">
        <f t="shared" si="3"/>
        <v>0.011710800001310417</v>
      </c>
      <c r="O29">
        <f t="shared" si="4"/>
        <v>-0.0003334763398608548</v>
      </c>
      <c r="Q29" s="2">
        <f t="shared" si="5"/>
        <v>14651.810000000001</v>
      </c>
    </row>
    <row r="30" spans="1:17" ht="12.75">
      <c r="A30" s="53" t="s">
        <v>90</v>
      </c>
      <c r="B30" s="55" t="s">
        <v>32</v>
      </c>
      <c r="C30" s="54">
        <v>29696.329</v>
      </c>
      <c r="D30" s="11"/>
      <c r="E30" s="34">
        <f t="shared" si="0"/>
        <v>-632.0789696203564</v>
      </c>
      <c r="F30">
        <f t="shared" si="1"/>
        <v>-632</v>
      </c>
      <c r="G30">
        <f t="shared" si="2"/>
        <v>-0.05420831999799702</v>
      </c>
      <c r="K30">
        <f t="shared" si="3"/>
        <v>-0.05420831999799702</v>
      </c>
      <c r="O30">
        <f t="shared" si="4"/>
        <v>-0.0004485958642103799</v>
      </c>
      <c r="Q30" s="2">
        <f t="shared" si="5"/>
        <v>14677.829000000002</v>
      </c>
    </row>
    <row r="31" spans="1:17" ht="12.75">
      <c r="A31" s="53" t="s">
        <v>90</v>
      </c>
      <c r="B31" s="55" t="s">
        <v>32</v>
      </c>
      <c r="C31" s="54">
        <v>29963.401</v>
      </c>
      <c r="D31" s="11"/>
      <c r="E31" s="34">
        <f t="shared" si="0"/>
        <v>-243.01370346744352</v>
      </c>
      <c r="F31">
        <f t="shared" si="1"/>
        <v>-243</v>
      </c>
      <c r="G31">
        <f t="shared" si="2"/>
        <v>-0.00940667999748257</v>
      </c>
      <c r="K31">
        <f t="shared" si="3"/>
        <v>-0.00940667999748257</v>
      </c>
      <c r="O31">
        <f t="shared" si="4"/>
        <v>-0.0016270562582094664</v>
      </c>
      <c r="Q31" s="2">
        <f t="shared" si="5"/>
        <v>14944.901000000002</v>
      </c>
    </row>
    <row r="32" spans="1:17" ht="12.75">
      <c r="A32" s="53" t="s">
        <v>90</v>
      </c>
      <c r="B32" s="55" t="s">
        <v>32</v>
      </c>
      <c r="C32" s="54">
        <v>29994.333</v>
      </c>
      <c r="D32" s="11"/>
      <c r="E32" s="34">
        <f t="shared" si="0"/>
        <v>-197.95257084163194</v>
      </c>
      <c r="F32">
        <f t="shared" si="1"/>
        <v>-198</v>
      </c>
      <c r="G32">
        <f t="shared" si="2"/>
        <v>0.03255752000040957</v>
      </c>
      <c r="K32">
        <f t="shared" si="3"/>
        <v>0.03255752000040957</v>
      </c>
      <c r="O32">
        <f t="shared" si="4"/>
        <v>-0.0017633820107286408</v>
      </c>
      <c r="Q32" s="2">
        <f t="shared" si="5"/>
        <v>14975.832999999999</v>
      </c>
    </row>
    <row r="33" spans="1:17" ht="12.75">
      <c r="A33" s="53" t="s">
        <v>90</v>
      </c>
      <c r="B33" s="55" t="s">
        <v>32</v>
      </c>
      <c r="C33" s="54">
        <v>29996.374</v>
      </c>
      <c r="D33" s="11"/>
      <c r="E33" s="34">
        <f t="shared" si="0"/>
        <v>-194.97928195991273</v>
      </c>
      <c r="F33">
        <f t="shared" si="1"/>
        <v>-195</v>
      </c>
      <c r="G33">
        <f t="shared" si="2"/>
        <v>0.01422180000008666</v>
      </c>
      <c r="K33">
        <f t="shared" si="3"/>
        <v>0.01422180000008666</v>
      </c>
      <c r="O33">
        <f t="shared" si="4"/>
        <v>-0.001772470394229919</v>
      </c>
      <c r="Q33" s="2">
        <f t="shared" si="5"/>
        <v>14977.874</v>
      </c>
    </row>
    <row r="34" spans="1:17" ht="12.75">
      <c r="A34" s="53" t="s">
        <v>90</v>
      </c>
      <c r="B34" s="55" t="s">
        <v>32</v>
      </c>
      <c r="C34" s="54">
        <v>30000.473</v>
      </c>
      <c r="D34" s="11"/>
      <c r="E34" s="34">
        <f t="shared" si="0"/>
        <v>-189.0079389289639</v>
      </c>
      <c r="F34">
        <f t="shared" si="1"/>
        <v>-189</v>
      </c>
      <c r="G34">
        <f t="shared" si="2"/>
        <v>-0.005449639997095801</v>
      </c>
      <c r="K34">
        <f t="shared" si="3"/>
        <v>-0.005449639997095801</v>
      </c>
      <c r="O34">
        <f t="shared" si="4"/>
        <v>-0.0017906471612324757</v>
      </c>
      <c r="Q34" s="2">
        <f t="shared" si="5"/>
        <v>14981.973000000002</v>
      </c>
    </row>
    <row r="35" spans="1:17" ht="12.75">
      <c r="A35" s="53" t="s">
        <v>90</v>
      </c>
      <c r="B35" s="55" t="s">
        <v>32</v>
      </c>
      <c r="C35" s="54">
        <v>30022.43</v>
      </c>
      <c r="D35" s="11"/>
      <c r="E35" s="34">
        <f t="shared" si="0"/>
        <v>-157.0214107683221</v>
      </c>
      <c r="F35">
        <f t="shared" si="1"/>
        <v>-157</v>
      </c>
      <c r="G35">
        <f t="shared" si="2"/>
        <v>-0.014697319998958847</v>
      </c>
      <c r="K35">
        <f t="shared" si="3"/>
        <v>-0.014697319998958847</v>
      </c>
      <c r="O35">
        <f t="shared" si="4"/>
        <v>-0.0018875899185794441</v>
      </c>
      <c r="Q35" s="2">
        <f t="shared" si="5"/>
        <v>15003.93</v>
      </c>
    </row>
    <row r="36" spans="1:17" ht="12.75">
      <c r="A36" s="53" t="s">
        <v>90</v>
      </c>
      <c r="B36" s="55" t="s">
        <v>32</v>
      </c>
      <c r="C36" s="54">
        <v>30051.271</v>
      </c>
      <c r="D36" s="11"/>
      <c r="E36" s="34">
        <f t="shared" si="0"/>
        <v>-115.00640604631349</v>
      </c>
      <c r="F36">
        <f t="shared" si="1"/>
        <v>-115</v>
      </c>
      <c r="G36">
        <f t="shared" si="2"/>
        <v>-0.004397400000016205</v>
      </c>
      <c r="K36">
        <f t="shared" si="3"/>
        <v>-0.004397400000016205</v>
      </c>
      <c r="O36">
        <f t="shared" si="4"/>
        <v>-0.0020148272875973403</v>
      </c>
      <c r="Q36" s="2">
        <f t="shared" si="5"/>
        <v>15032.771</v>
      </c>
    </row>
    <row r="37" spans="1:17" ht="12.75">
      <c r="A37" s="53" t="s">
        <v>90</v>
      </c>
      <c r="B37" s="55" t="s">
        <v>44</v>
      </c>
      <c r="C37" s="54">
        <v>30056.428</v>
      </c>
      <c r="D37" s="11"/>
      <c r="E37" s="34">
        <f t="shared" si="0"/>
        <v>-107.49378930794227</v>
      </c>
      <c r="F37">
        <f t="shared" si="1"/>
        <v>-107.5</v>
      </c>
      <c r="G37">
        <f t="shared" si="2"/>
        <v>0.004263300001184689</v>
      </c>
      <c r="K37">
        <f t="shared" si="3"/>
        <v>0.004263300001184689</v>
      </c>
      <c r="O37">
        <f t="shared" si="4"/>
        <v>-0.002037548246350536</v>
      </c>
      <c r="Q37" s="2">
        <f t="shared" si="5"/>
        <v>15037.928</v>
      </c>
    </row>
    <row r="38" spans="1:17" ht="12.75">
      <c r="A38" s="53" t="s">
        <v>90</v>
      </c>
      <c r="B38" s="55" t="s">
        <v>32</v>
      </c>
      <c r="C38" s="54">
        <v>30073.245</v>
      </c>
      <c r="D38" s="11"/>
      <c r="E38" s="34">
        <f t="shared" si="0"/>
        <v>-82.9951126181613</v>
      </c>
      <c r="F38">
        <f t="shared" si="1"/>
        <v>-83</v>
      </c>
      <c r="G38">
        <f t="shared" si="2"/>
        <v>0.0033549199979461264</v>
      </c>
      <c r="K38">
        <f t="shared" si="3"/>
        <v>0.0033549199979461264</v>
      </c>
      <c r="O38">
        <f t="shared" si="4"/>
        <v>-0.002111770044944309</v>
      </c>
      <c r="Q38" s="2">
        <f t="shared" si="5"/>
        <v>15054.744999999999</v>
      </c>
    </row>
    <row r="39" spans="1:17" ht="12.75">
      <c r="A39" s="53" t="s">
        <v>90</v>
      </c>
      <c r="B39" s="55" t="s">
        <v>32</v>
      </c>
      <c r="C39" s="54">
        <v>30075.272</v>
      </c>
      <c r="D39" s="11"/>
      <c r="E39" s="34">
        <f t="shared" si="0"/>
        <v>-80.04221866262617</v>
      </c>
      <c r="F39">
        <f t="shared" si="1"/>
        <v>-80</v>
      </c>
      <c r="G39">
        <f t="shared" si="2"/>
        <v>-0.028980799997953</v>
      </c>
      <c r="K39">
        <f t="shared" si="3"/>
        <v>-0.028980799997953</v>
      </c>
      <c r="O39">
        <f t="shared" si="4"/>
        <v>-0.0021208584284455874</v>
      </c>
      <c r="Q39" s="2">
        <f t="shared" si="5"/>
        <v>15056.772</v>
      </c>
    </row>
    <row r="40" spans="1:17" ht="12.75">
      <c r="A40" s="53" t="s">
        <v>90</v>
      </c>
      <c r="B40" s="55" t="s">
        <v>44</v>
      </c>
      <c r="C40" s="54">
        <v>30076.343</v>
      </c>
      <c r="D40" s="11"/>
      <c r="E40" s="34">
        <f t="shared" si="0"/>
        <v>-78.48200680945648</v>
      </c>
      <c r="F40">
        <f t="shared" si="1"/>
        <v>-78.5</v>
      </c>
      <c r="G40">
        <f t="shared" si="2"/>
        <v>0.012351339999440825</v>
      </c>
      <c r="K40">
        <f t="shared" si="3"/>
        <v>0.012351339999440825</v>
      </c>
      <c r="O40">
        <f t="shared" si="4"/>
        <v>-0.0021254026201962266</v>
      </c>
      <c r="Q40" s="2">
        <f t="shared" si="5"/>
        <v>15057.843</v>
      </c>
    </row>
    <row r="41" spans="1:17" ht="12.75">
      <c r="A41" s="53" t="s">
        <v>90</v>
      </c>
      <c r="B41" s="55" t="s">
        <v>32</v>
      </c>
      <c r="C41" s="54">
        <v>30088.328</v>
      </c>
      <c r="D41" s="11"/>
      <c r="E41" s="34">
        <f t="shared" si="0"/>
        <v>-61.02249321446006</v>
      </c>
      <c r="F41">
        <f t="shared" si="1"/>
        <v>-61</v>
      </c>
      <c r="G41">
        <f t="shared" si="2"/>
        <v>-0.01544035999904736</v>
      </c>
      <c r="K41">
        <f t="shared" si="3"/>
        <v>-0.01544035999904736</v>
      </c>
      <c r="O41">
        <f t="shared" si="4"/>
        <v>-0.00217841819062035</v>
      </c>
      <c r="Q41" s="2">
        <f t="shared" si="5"/>
        <v>15069.828000000001</v>
      </c>
    </row>
    <row r="42" spans="1:17" ht="12.75">
      <c r="A42" t="s">
        <v>12</v>
      </c>
      <c r="C42" s="11">
        <f>+C25</f>
        <v>27421.502</v>
      </c>
      <c r="D42" s="11" t="s">
        <v>14</v>
      </c>
      <c r="E42">
        <f t="shared" si="0"/>
        <v>-3946.0024517032116</v>
      </c>
      <c r="F42">
        <f t="shared" si="1"/>
        <v>-3946</v>
      </c>
      <c r="H42">
        <v>0</v>
      </c>
      <c r="O42">
        <f t="shared" si="4"/>
        <v>0.009591038443535049</v>
      </c>
      <c r="Q42" s="2">
        <f t="shared" si="5"/>
        <v>12403.002</v>
      </c>
    </row>
    <row r="43" spans="1:17" ht="12.75">
      <c r="A43" s="53" t="s">
        <v>90</v>
      </c>
      <c r="B43" s="55" t="s">
        <v>32</v>
      </c>
      <c r="C43" s="54">
        <v>30344.378</v>
      </c>
      <c r="D43" s="11"/>
      <c r="E43" s="34">
        <f t="shared" si="0"/>
        <v>311.9861389089112</v>
      </c>
      <c r="F43">
        <f t="shared" si="1"/>
        <v>312</v>
      </c>
      <c r="G43">
        <f aca="true" t="shared" si="6" ref="G43:G82">+C43-(C$7+F43*C$8)</f>
        <v>-0.009514879999187542</v>
      </c>
      <c r="K43">
        <f aca="true" t="shared" si="7" ref="K43:K82">+G43</f>
        <v>-0.009514879999187542</v>
      </c>
      <c r="O43">
        <f t="shared" si="4"/>
        <v>-0.003308407205945952</v>
      </c>
      <c r="Q43" s="2">
        <f t="shared" si="5"/>
        <v>15325.878</v>
      </c>
    </row>
    <row r="44" spans="1:17" ht="12.75">
      <c r="A44" s="53" t="s">
        <v>90</v>
      </c>
      <c r="B44" s="55" t="s">
        <v>44</v>
      </c>
      <c r="C44" s="54">
        <v>30468.267</v>
      </c>
      <c r="D44" s="11"/>
      <c r="E44" s="34">
        <f t="shared" si="0"/>
        <v>492.4652110633036</v>
      </c>
      <c r="F44">
        <f t="shared" si="1"/>
        <v>492.5</v>
      </c>
      <c r="G44">
        <f t="shared" si="6"/>
        <v>-0.02388069999869913</v>
      </c>
      <c r="K44">
        <f t="shared" si="7"/>
        <v>-0.02388069999869913</v>
      </c>
      <c r="O44">
        <f t="shared" si="4"/>
        <v>-0.003855224946606196</v>
      </c>
      <c r="Q44" s="2">
        <f t="shared" si="5"/>
        <v>15449.767</v>
      </c>
    </row>
    <row r="45" spans="1:17" ht="12.75">
      <c r="A45" s="53" t="s">
        <v>90</v>
      </c>
      <c r="B45" s="55" t="s">
        <v>32</v>
      </c>
      <c r="C45" s="54">
        <v>30500.214</v>
      </c>
      <c r="D45" s="11"/>
      <c r="E45" s="34">
        <f t="shared" si="0"/>
        <v>539.0049758375486</v>
      </c>
      <c r="F45">
        <f t="shared" si="1"/>
        <v>539</v>
      </c>
      <c r="G45">
        <f t="shared" si="6"/>
        <v>0.003415639999730047</v>
      </c>
      <c r="K45">
        <f t="shared" si="7"/>
        <v>0.003415639999730047</v>
      </c>
      <c r="O45">
        <f t="shared" si="4"/>
        <v>-0.0039960948908760105</v>
      </c>
      <c r="Q45" s="2">
        <f t="shared" si="5"/>
        <v>15481.714</v>
      </c>
    </row>
    <row r="46" spans="1:17" ht="12.75">
      <c r="A46" s="53" t="s">
        <v>90</v>
      </c>
      <c r="B46" s="55" t="s">
        <v>32</v>
      </c>
      <c r="C46" s="54">
        <v>30668.412</v>
      </c>
      <c r="D46" s="11"/>
      <c r="E46" s="34">
        <f t="shared" si="0"/>
        <v>784.0325325877423</v>
      </c>
      <c r="F46">
        <f t="shared" si="1"/>
        <v>784</v>
      </c>
      <c r="G46">
        <f t="shared" si="6"/>
        <v>0.022331840002152603</v>
      </c>
      <c r="K46">
        <f t="shared" si="7"/>
        <v>0.022331840002152603</v>
      </c>
      <c r="O46">
        <f t="shared" si="4"/>
        <v>-0.004738312876813738</v>
      </c>
      <c r="Q46" s="2">
        <f t="shared" si="5"/>
        <v>15649.912</v>
      </c>
    </row>
    <row r="47" spans="1:17" ht="12.75">
      <c r="A47" s="53" t="s">
        <v>90</v>
      </c>
      <c r="B47" s="55" t="s">
        <v>32</v>
      </c>
      <c r="C47" s="54">
        <v>30703.446</v>
      </c>
      <c r="D47" s="11"/>
      <c r="E47" s="34">
        <f t="shared" si="0"/>
        <v>835.069378585829</v>
      </c>
      <c r="F47">
        <f t="shared" si="1"/>
        <v>835</v>
      </c>
      <c r="G47">
        <f t="shared" si="6"/>
        <v>0.04762459999983548</v>
      </c>
      <c r="K47">
        <f t="shared" si="7"/>
        <v>0.04762459999983548</v>
      </c>
      <c r="O47">
        <f t="shared" si="4"/>
        <v>-0.004892815396335469</v>
      </c>
      <c r="Q47" s="2">
        <f t="shared" si="5"/>
        <v>15684.946</v>
      </c>
    </row>
    <row r="48" spans="1:17" ht="12.75">
      <c r="A48" s="53" t="s">
        <v>90</v>
      </c>
      <c r="B48" s="55" t="s">
        <v>32</v>
      </c>
      <c r="C48" s="54">
        <v>30723.339</v>
      </c>
      <c r="D48" s="11"/>
      <c r="E48" s="34">
        <f t="shared" si="0"/>
        <v>864.0491119145938</v>
      </c>
      <c r="F48">
        <f t="shared" si="1"/>
        <v>864</v>
      </c>
      <c r="G48">
        <f t="shared" si="6"/>
        <v>0.033712640000885585</v>
      </c>
      <c r="K48">
        <f t="shared" si="7"/>
        <v>0.033712640000885585</v>
      </c>
      <c r="O48">
        <f t="shared" si="4"/>
        <v>-0.004980669770181159</v>
      </c>
      <c r="Q48" s="2">
        <f t="shared" si="5"/>
        <v>15704.839</v>
      </c>
    </row>
    <row r="49" spans="1:17" ht="12.75">
      <c r="A49" s="53" t="s">
        <v>90</v>
      </c>
      <c r="B49" s="55" t="s">
        <v>32</v>
      </c>
      <c r="C49" s="54">
        <v>30758.281</v>
      </c>
      <c r="D49" s="11"/>
      <c r="E49" s="34">
        <f t="shared" si="0"/>
        <v>914.951934112034</v>
      </c>
      <c r="F49">
        <f t="shared" si="1"/>
        <v>915</v>
      </c>
      <c r="G49">
        <f t="shared" si="6"/>
        <v>-0.03299460000198451</v>
      </c>
      <c r="K49">
        <f t="shared" si="7"/>
        <v>-0.03299460000198451</v>
      </c>
      <c r="O49">
        <f t="shared" si="4"/>
        <v>-0.0051351722897028905</v>
      </c>
      <c r="Q49" s="2">
        <f t="shared" si="5"/>
        <v>15739.780999999999</v>
      </c>
    </row>
    <row r="50" spans="1:17" ht="12.75">
      <c r="A50" s="53" t="s">
        <v>90</v>
      </c>
      <c r="B50" s="55" t="s">
        <v>32</v>
      </c>
      <c r="C50" s="54">
        <v>30762.414</v>
      </c>
      <c r="D50" s="11"/>
      <c r="E50" s="34">
        <f t="shared" si="0"/>
        <v>920.9728076780035</v>
      </c>
      <c r="F50">
        <f t="shared" si="1"/>
        <v>921</v>
      </c>
      <c r="G50">
        <f t="shared" si="6"/>
        <v>-0.018666039999516215</v>
      </c>
      <c r="K50">
        <f t="shared" si="7"/>
        <v>-0.018666039999516215</v>
      </c>
      <c r="O50">
        <f t="shared" si="4"/>
        <v>-0.005153349056705447</v>
      </c>
      <c r="Q50" s="2">
        <f t="shared" si="5"/>
        <v>15743.914</v>
      </c>
    </row>
    <row r="51" spans="1:17" ht="12.75">
      <c r="A51" s="53" t="s">
        <v>67</v>
      </c>
      <c r="B51" s="55" t="s">
        <v>32</v>
      </c>
      <c r="C51" s="54">
        <v>30784.38</v>
      </c>
      <c r="D51" s="11"/>
      <c r="E51" s="34">
        <f t="shared" si="0"/>
        <v>952.9724468626242</v>
      </c>
      <c r="F51">
        <f t="shared" si="1"/>
        <v>953</v>
      </c>
      <c r="G51">
        <f t="shared" si="6"/>
        <v>-0.01891371999954572</v>
      </c>
      <c r="K51">
        <f t="shared" si="7"/>
        <v>-0.01891371999954572</v>
      </c>
      <c r="O51">
        <f t="shared" si="4"/>
        <v>-0.0052502918140524156</v>
      </c>
      <c r="Q51" s="2">
        <f t="shared" si="5"/>
        <v>15765.880000000001</v>
      </c>
    </row>
    <row r="52" spans="1:17" ht="12.75">
      <c r="A52" s="53" t="s">
        <v>90</v>
      </c>
      <c r="B52" s="55" t="s">
        <v>32</v>
      </c>
      <c r="C52" s="54">
        <v>30791.25</v>
      </c>
      <c r="D52" s="11"/>
      <c r="E52" s="34">
        <f t="shared" si="0"/>
        <v>962.9805284978016</v>
      </c>
      <c r="F52">
        <f t="shared" si="1"/>
        <v>963</v>
      </c>
      <c r="G52">
        <f t="shared" si="6"/>
        <v>-0.013366119997954229</v>
      </c>
      <c r="K52">
        <f t="shared" si="7"/>
        <v>-0.013366119997954229</v>
      </c>
      <c r="O52">
        <f t="shared" si="4"/>
        <v>-0.005280586425723343</v>
      </c>
      <c r="Q52" s="2">
        <f t="shared" si="5"/>
        <v>15772.75</v>
      </c>
    </row>
    <row r="53" spans="1:17" ht="12.75">
      <c r="A53" s="53" t="s">
        <v>90</v>
      </c>
      <c r="B53" s="55" t="s">
        <v>32</v>
      </c>
      <c r="C53" s="54">
        <v>30793.364</v>
      </c>
      <c r="D53" s="11"/>
      <c r="E53" s="34">
        <f aca="true" t="shared" si="8" ref="E53:E88">+(C53-C$7)/C$8</f>
        <v>966.0601623517729</v>
      </c>
      <c r="F53">
        <f aca="true" t="shared" si="9" ref="F53:F84">ROUND(2*E53,0)/2</f>
        <v>966</v>
      </c>
      <c r="G53">
        <f t="shared" si="6"/>
        <v>0.041298160002043005</v>
      </c>
      <c r="K53">
        <f t="shared" si="7"/>
        <v>0.041298160002043005</v>
      </c>
      <c r="O53">
        <f aca="true" t="shared" si="10" ref="O53:O88">+C$11+C$12*$F53</f>
        <v>-0.005289674809224622</v>
      </c>
      <c r="Q53" s="2">
        <f aca="true" t="shared" si="11" ref="Q53:Q88">+C53-15018.5</f>
        <v>15774.864000000001</v>
      </c>
    </row>
    <row r="54" spans="1:17" ht="12.75">
      <c r="A54" s="53" t="s">
        <v>67</v>
      </c>
      <c r="B54" s="55" t="s">
        <v>32</v>
      </c>
      <c r="C54" s="54">
        <v>30793.374</v>
      </c>
      <c r="D54" s="11"/>
      <c r="E54" s="34">
        <f t="shared" si="8"/>
        <v>966.0747301561886</v>
      </c>
      <c r="F54">
        <f t="shared" si="9"/>
        <v>966</v>
      </c>
      <c r="G54">
        <f t="shared" si="6"/>
        <v>0.051298160000442294</v>
      </c>
      <c r="K54">
        <f t="shared" si="7"/>
        <v>0.051298160000442294</v>
      </c>
      <c r="O54">
        <f t="shared" si="10"/>
        <v>-0.005289674809224622</v>
      </c>
      <c r="Q54" s="2">
        <f t="shared" si="11"/>
        <v>15774.874</v>
      </c>
    </row>
    <row r="55" spans="1:17" ht="12.75">
      <c r="A55" s="53" t="s">
        <v>90</v>
      </c>
      <c r="B55" s="55" t="s">
        <v>32</v>
      </c>
      <c r="C55" s="54">
        <v>30850.25</v>
      </c>
      <c r="D55" s="11"/>
      <c r="E55" s="34">
        <f t="shared" si="8"/>
        <v>1048.9305745641127</v>
      </c>
      <c r="F55">
        <f t="shared" si="9"/>
        <v>1049</v>
      </c>
      <c r="G55">
        <f t="shared" si="6"/>
        <v>-0.047656759998062626</v>
      </c>
      <c r="K55">
        <f t="shared" si="7"/>
        <v>-0.047656759998062626</v>
      </c>
      <c r="O55">
        <f t="shared" si="10"/>
        <v>-0.005541120086093321</v>
      </c>
      <c r="Q55" s="2">
        <f t="shared" si="11"/>
        <v>15831.75</v>
      </c>
    </row>
    <row r="56" spans="1:17" ht="12.75">
      <c r="A56" s="53" t="s">
        <v>168</v>
      </c>
      <c r="B56" s="55" t="s">
        <v>32</v>
      </c>
      <c r="C56" s="54">
        <v>31852.525</v>
      </c>
      <c r="D56" s="11"/>
      <c r="E56" s="34">
        <f t="shared" si="8"/>
        <v>2509.025191871098</v>
      </c>
      <c r="F56">
        <f t="shared" si="9"/>
        <v>2509</v>
      </c>
      <c r="G56">
        <f t="shared" si="6"/>
        <v>0.01729284000248299</v>
      </c>
      <c r="K56">
        <f t="shared" si="7"/>
        <v>0.01729284000248299</v>
      </c>
      <c r="O56">
        <f t="shared" si="10"/>
        <v>-0.00996413339004876</v>
      </c>
      <c r="Q56" s="2">
        <f t="shared" si="11"/>
        <v>16834.025</v>
      </c>
    </row>
    <row r="57" spans="1:17" ht="12.75">
      <c r="A57" s="53" t="s">
        <v>168</v>
      </c>
      <c r="B57" s="55" t="s">
        <v>32</v>
      </c>
      <c r="C57" s="54">
        <v>32231.445</v>
      </c>
      <c r="D57" s="11"/>
      <c r="E57" s="34">
        <f t="shared" si="8"/>
        <v>3061.028436878665</v>
      </c>
      <c r="F57">
        <f t="shared" si="9"/>
        <v>3061</v>
      </c>
      <c r="G57">
        <f t="shared" si="6"/>
        <v>0.019520360001479276</v>
      </c>
      <c r="K57">
        <f t="shared" si="7"/>
        <v>0.019520360001479276</v>
      </c>
      <c r="O57">
        <f t="shared" si="10"/>
        <v>-0.011636395954283969</v>
      </c>
      <c r="Q57" s="2">
        <f t="shared" si="11"/>
        <v>17212.945</v>
      </c>
    </row>
    <row r="58" spans="1:17" ht="12.75">
      <c r="A58" s="53" t="s">
        <v>168</v>
      </c>
      <c r="B58" s="55" t="s">
        <v>32</v>
      </c>
      <c r="C58" s="54">
        <v>32233.468</v>
      </c>
      <c r="D58" s="11"/>
      <c r="E58" s="34">
        <f t="shared" si="8"/>
        <v>3063.975503712432</v>
      </c>
      <c r="F58">
        <f t="shared" si="9"/>
        <v>3064</v>
      </c>
      <c r="G58">
        <f t="shared" si="6"/>
        <v>-0.016815359998872736</v>
      </c>
      <c r="K58">
        <f t="shared" si="7"/>
        <v>-0.016815359998872736</v>
      </c>
      <c r="O58">
        <f t="shared" si="10"/>
        <v>-0.011645484337785247</v>
      </c>
      <c r="Q58" s="2">
        <f t="shared" si="11"/>
        <v>17214.968</v>
      </c>
    </row>
    <row r="59" spans="1:17" ht="12.75">
      <c r="A59" s="53" t="s">
        <v>168</v>
      </c>
      <c r="B59" s="55" t="s">
        <v>32</v>
      </c>
      <c r="C59" s="54">
        <v>32938.455</v>
      </c>
      <c r="D59" s="11"/>
      <c r="E59" s="34">
        <f t="shared" si="8"/>
        <v>4090.986777037018</v>
      </c>
      <c r="F59">
        <f t="shared" si="9"/>
        <v>4091</v>
      </c>
      <c r="G59">
        <f t="shared" si="6"/>
        <v>-0.00907683999685105</v>
      </c>
      <c r="K59">
        <f t="shared" si="7"/>
        <v>-0.00907683999685105</v>
      </c>
      <c r="O59">
        <f t="shared" si="10"/>
        <v>-0.014756740956389517</v>
      </c>
      <c r="Q59" s="2">
        <f t="shared" si="11"/>
        <v>17919.955</v>
      </c>
    </row>
    <row r="60" spans="1:17" ht="12.75">
      <c r="A60" s="53" t="s">
        <v>168</v>
      </c>
      <c r="B60" s="55" t="s">
        <v>32</v>
      </c>
      <c r="C60" s="54">
        <v>33330.44</v>
      </c>
      <c r="D60" s="11"/>
      <c r="E60" s="34">
        <f t="shared" si="8"/>
        <v>4662.02285851673</v>
      </c>
      <c r="F60">
        <f t="shared" si="9"/>
        <v>4662</v>
      </c>
      <c r="G60">
        <f t="shared" si="6"/>
        <v>0.015691120002884418</v>
      </c>
      <c r="K60">
        <f t="shared" si="7"/>
        <v>0.015691120002884418</v>
      </c>
      <c r="O60">
        <f t="shared" si="10"/>
        <v>-0.016486563282799488</v>
      </c>
      <c r="Q60" s="2">
        <f t="shared" si="11"/>
        <v>18311.940000000002</v>
      </c>
    </row>
    <row r="61" spans="1:17" ht="12.75">
      <c r="A61" s="53" t="s">
        <v>168</v>
      </c>
      <c r="B61" s="55" t="s">
        <v>32</v>
      </c>
      <c r="C61" s="54">
        <v>34451.375</v>
      </c>
      <c r="D61" s="11"/>
      <c r="E61" s="34">
        <f t="shared" si="8"/>
        <v>6294.979043047922</v>
      </c>
      <c r="F61">
        <f t="shared" si="9"/>
        <v>6295</v>
      </c>
      <c r="G61">
        <f t="shared" si="6"/>
        <v>-0.014385800001036841</v>
      </c>
      <c r="K61">
        <f t="shared" si="7"/>
        <v>-0.014385800001036841</v>
      </c>
      <c r="O61">
        <f t="shared" si="10"/>
        <v>-0.021433673368661976</v>
      </c>
      <c r="Q61" s="2">
        <f t="shared" si="11"/>
        <v>19432.875</v>
      </c>
    </row>
    <row r="62" spans="1:17" ht="12.75">
      <c r="A62" s="53" t="s">
        <v>168</v>
      </c>
      <c r="B62" s="55" t="s">
        <v>44</v>
      </c>
      <c r="C62" s="54">
        <v>34785.295</v>
      </c>
      <c r="D62" s="11"/>
      <c r="E62" s="34">
        <f t="shared" si="8"/>
        <v>6781.427168174404</v>
      </c>
      <c r="F62">
        <f t="shared" si="9"/>
        <v>6781.5</v>
      </c>
      <c r="G62">
        <f t="shared" si="6"/>
        <v>-0.04999505999876419</v>
      </c>
      <c r="K62">
        <f t="shared" si="7"/>
        <v>-0.04999505999876419</v>
      </c>
      <c r="O62">
        <f t="shared" si="10"/>
        <v>-0.022907506226452608</v>
      </c>
      <c r="Q62" s="2">
        <f t="shared" si="11"/>
        <v>19766.795</v>
      </c>
    </row>
    <row r="63" spans="1:17" ht="12.75">
      <c r="A63" s="53" t="s">
        <v>168</v>
      </c>
      <c r="B63" s="55" t="s">
        <v>32</v>
      </c>
      <c r="C63" s="54">
        <v>35160.49</v>
      </c>
      <c r="D63" s="11"/>
      <c r="E63" s="34">
        <f t="shared" si="8"/>
        <v>7328.003906036261</v>
      </c>
      <c r="F63">
        <f t="shared" si="9"/>
        <v>7328</v>
      </c>
      <c r="G63">
        <f t="shared" si="6"/>
        <v>0.0026812799987965263</v>
      </c>
      <c r="K63">
        <f t="shared" si="7"/>
        <v>0.0026812799987965263</v>
      </c>
      <c r="O63">
        <f t="shared" si="10"/>
        <v>-0.024563106754268805</v>
      </c>
      <c r="Q63" s="2">
        <f t="shared" si="11"/>
        <v>20141.989999999998</v>
      </c>
    </row>
    <row r="64" spans="1:17" ht="12.75">
      <c r="A64" s="53" t="s">
        <v>168</v>
      </c>
      <c r="B64" s="55" t="s">
        <v>32</v>
      </c>
      <c r="C64" s="54">
        <v>35165.29</v>
      </c>
      <c r="D64" s="11"/>
      <c r="E64" s="34">
        <f t="shared" si="8"/>
        <v>7334.9964521569145</v>
      </c>
      <c r="F64">
        <f t="shared" si="9"/>
        <v>7335</v>
      </c>
      <c r="G64">
        <f t="shared" si="6"/>
        <v>-0.002435399997921195</v>
      </c>
      <c r="K64">
        <f t="shared" si="7"/>
        <v>-0.002435399997921195</v>
      </c>
      <c r="O64">
        <f t="shared" si="10"/>
        <v>-0.024584312982438454</v>
      </c>
      <c r="Q64" s="2">
        <f t="shared" si="11"/>
        <v>20146.79</v>
      </c>
    </row>
    <row r="65" spans="1:17" ht="12.75">
      <c r="A65" s="53" t="s">
        <v>168</v>
      </c>
      <c r="B65" s="55" t="s">
        <v>32</v>
      </c>
      <c r="C65" s="54">
        <v>35453.6</v>
      </c>
      <c r="D65" s="11"/>
      <c r="E65" s="34">
        <f t="shared" si="8"/>
        <v>7755.000821332812</v>
      </c>
      <c r="F65">
        <f t="shared" si="9"/>
        <v>7755</v>
      </c>
      <c r="G65">
        <f t="shared" si="6"/>
        <v>0.0005638000002363697</v>
      </c>
      <c r="K65">
        <f t="shared" si="7"/>
        <v>0.0005638000002363697</v>
      </c>
      <c r="O65">
        <f t="shared" si="10"/>
        <v>-0.025856686672617417</v>
      </c>
      <c r="Q65" s="2">
        <f t="shared" si="11"/>
        <v>20435.1</v>
      </c>
    </row>
    <row r="66" spans="1:17" ht="12.75">
      <c r="A66" s="53" t="s">
        <v>168</v>
      </c>
      <c r="B66" s="55" t="s">
        <v>32</v>
      </c>
      <c r="C66" s="54">
        <v>35486.525</v>
      </c>
      <c r="D66" s="11"/>
      <c r="E66" s="34">
        <f t="shared" si="8"/>
        <v>7802.965317379143</v>
      </c>
      <c r="F66">
        <f t="shared" si="9"/>
        <v>7803</v>
      </c>
      <c r="G66">
        <f t="shared" si="6"/>
        <v>-0.023807719997421373</v>
      </c>
      <c r="K66">
        <f t="shared" si="7"/>
        <v>-0.023807719997421373</v>
      </c>
      <c r="O66">
        <f t="shared" si="10"/>
        <v>-0.02600210080863787</v>
      </c>
      <c r="Q66" s="2">
        <f t="shared" si="11"/>
        <v>20468.025</v>
      </c>
    </row>
    <row r="67" spans="1:17" ht="12.75">
      <c r="A67" s="53" t="s">
        <v>200</v>
      </c>
      <c r="B67" s="55" t="s">
        <v>32</v>
      </c>
      <c r="C67" s="54">
        <v>46441.456</v>
      </c>
      <c r="D67" s="11"/>
      <c r="E67" s="34">
        <f t="shared" si="8"/>
        <v>23761.89453946829</v>
      </c>
      <c r="F67">
        <f t="shared" si="9"/>
        <v>23762</v>
      </c>
      <c r="G67">
        <f t="shared" si="6"/>
        <v>-0.0723928799998248</v>
      </c>
      <c r="K67">
        <f t="shared" si="7"/>
        <v>-0.0723928799998248</v>
      </c>
      <c r="O67">
        <f t="shared" si="10"/>
        <v>-0.07434927157427133</v>
      </c>
      <c r="Q67" s="2">
        <f t="shared" si="11"/>
        <v>31422.956</v>
      </c>
    </row>
    <row r="68" spans="1:17" ht="12.75">
      <c r="A68" s="53" t="s">
        <v>205</v>
      </c>
      <c r="B68" s="55" t="s">
        <v>32</v>
      </c>
      <c r="C68" s="54">
        <v>48682.681</v>
      </c>
      <c r="D68" s="11"/>
      <c r="E68" s="34">
        <f t="shared" si="8"/>
        <v>27026.867285145716</v>
      </c>
      <c r="F68">
        <f t="shared" si="9"/>
        <v>27027</v>
      </c>
      <c r="G68">
        <f t="shared" si="6"/>
        <v>-0.09110148000036133</v>
      </c>
      <c r="K68">
        <f t="shared" si="7"/>
        <v>-0.09110148000036133</v>
      </c>
      <c r="O68">
        <f t="shared" si="10"/>
        <v>-0.08424046228482922</v>
      </c>
      <c r="Q68" s="2">
        <f t="shared" si="11"/>
        <v>33664.181</v>
      </c>
    </row>
    <row r="69" spans="1:17" ht="12.75">
      <c r="A69" s="53" t="s">
        <v>205</v>
      </c>
      <c r="B69" s="55" t="s">
        <v>32</v>
      </c>
      <c r="C69" s="54">
        <v>49013.558</v>
      </c>
      <c r="D69" s="11"/>
      <c r="E69" s="34">
        <f t="shared" si="8"/>
        <v>27508.882427387798</v>
      </c>
      <c r="F69">
        <f t="shared" si="9"/>
        <v>27509</v>
      </c>
      <c r="G69">
        <f t="shared" si="6"/>
        <v>-0.0807071600065683</v>
      </c>
      <c r="K69">
        <f t="shared" si="7"/>
        <v>-0.0807071600065683</v>
      </c>
      <c r="O69">
        <f t="shared" si="10"/>
        <v>-0.08570066256736793</v>
      </c>
      <c r="Q69" s="2">
        <f t="shared" si="11"/>
        <v>33995.058</v>
      </c>
    </row>
    <row r="70" spans="1:17" ht="12.75">
      <c r="A70" s="53" t="s">
        <v>205</v>
      </c>
      <c r="B70" s="55" t="s">
        <v>32</v>
      </c>
      <c r="C70" s="54">
        <v>49037.582</v>
      </c>
      <c r="D70" s="11"/>
      <c r="E70" s="34">
        <f t="shared" si="8"/>
        <v>27543.880120721653</v>
      </c>
      <c r="F70">
        <f t="shared" si="9"/>
        <v>27544</v>
      </c>
      <c r="G70">
        <f t="shared" si="6"/>
        <v>-0.08229055999981938</v>
      </c>
      <c r="K70">
        <f t="shared" si="7"/>
        <v>-0.08229055999981938</v>
      </c>
      <c r="O70">
        <f t="shared" si="10"/>
        <v>-0.08580669370821618</v>
      </c>
      <c r="Q70" s="2">
        <f t="shared" si="11"/>
        <v>34019.082</v>
      </c>
    </row>
    <row r="71" spans="1:17" ht="12.75">
      <c r="A71" s="53" t="s">
        <v>205</v>
      </c>
      <c r="B71" s="55" t="s">
        <v>32</v>
      </c>
      <c r="C71" s="54">
        <v>49455.61</v>
      </c>
      <c r="D71" s="11"/>
      <c r="E71" s="34">
        <f t="shared" si="8"/>
        <v>28152.85513524721</v>
      </c>
      <c r="F71">
        <f t="shared" si="9"/>
        <v>28153</v>
      </c>
      <c r="G71">
        <f t="shared" si="6"/>
        <v>-0.09944171999813989</v>
      </c>
      <c r="K71">
        <f t="shared" si="7"/>
        <v>-0.09944171999813989</v>
      </c>
      <c r="O71">
        <f t="shared" si="10"/>
        <v>-0.08765163555897568</v>
      </c>
      <c r="Q71" s="2">
        <f t="shared" si="11"/>
        <v>34437.11</v>
      </c>
    </row>
    <row r="72" spans="1:17" ht="12.75">
      <c r="A72" s="53" t="s">
        <v>205</v>
      </c>
      <c r="B72" s="55" t="s">
        <v>32</v>
      </c>
      <c r="C72" s="54">
        <v>49744.624</v>
      </c>
      <c r="D72" s="11"/>
      <c r="E72" s="34">
        <f t="shared" si="8"/>
        <v>28573.885077854142</v>
      </c>
      <c r="F72">
        <f t="shared" si="9"/>
        <v>28574</v>
      </c>
      <c r="G72">
        <f t="shared" si="6"/>
        <v>-0.07888775999163045</v>
      </c>
      <c r="K72">
        <f t="shared" si="7"/>
        <v>-0.07888775999163045</v>
      </c>
      <c r="O72">
        <f t="shared" si="10"/>
        <v>-0.08892703871032173</v>
      </c>
      <c r="Q72" s="2">
        <f t="shared" si="11"/>
        <v>34726.124</v>
      </c>
    </row>
    <row r="73" spans="1:17" ht="12.75">
      <c r="A73" s="53" t="s">
        <v>205</v>
      </c>
      <c r="B73" s="55" t="s">
        <v>32</v>
      </c>
      <c r="C73" s="54">
        <v>49755.6</v>
      </c>
      <c r="D73" s="11"/>
      <c r="E73" s="34">
        <f t="shared" si="8"/>
        <v>28589.874699983353</v>
      </c>
      <c r="F73">
        <f t="shared" si="9"/>
        <v>28590</v>
      </c>
      <c r="G73">
        <f t="shared" si="6"/>
        <v>-0.08601160000398522</v>
      </c>
      <c r="K73">
        <f t="shared" si="7"/>
        <v>-0.08601160000398522</v>
      </c>
      <c r="O73">
        <f t="shared" si="10"/>
        <v>-0.08897551008899521</v>
      </c>
      <c r="Q73" s="2">
        <f t="shared" si="11"/>
        <v>34737.1</v>
      </c>
    </row>
    <row r="74" spans="1:17" ht="12.75">
      <c r="A74" s="53" t="s">
        <v>205</v>
      </c>
      <c r="B74" s="55" t="s">
        <v>32</v>
      </c>
      <c r="C74" s="54">
        <v>49766.578</v>
      </c>
      <c r="D74" s="11"/>
      <c r="E74" s="34">
        <f t="shared" si="8"/>
        <v>28605.867235673457</v>
      </c>
      <c r="F74">
        <f t="shared" si="9"/>
        <v>28606</v>
      </c>
      <c r="G74">
        <f t="shared" si="6"/>
        <v>-0.09113543999410467</v>
      </c>
      <c r="K74">
        <f t="shared" si="7"/>
        <v>-0.09113543999410467</v>
      </c>
      <c r="O74">
        <f t="shared" si="10"/>
        <v>-0.0890239814676687</v>
      </c>
      <c r="Q74" s="2">
        <f t="shared" si="11"/>
        <v>34748.078</v>
      </c>
    </row>
    <row r="75" spans="1:17" ht="12.75">
      <c r="A75" s="53" t="s">
        <v>205</v>
      </c>
      <c r="B75" s="55" t="s">
        <v>32</v>
      </c>
      <c r="C75" s="54">
        <v>49768.639</v>
      </c>
      <c r="D75" s="11"/>
      <c r="E75" s="34">
        <f t="shared" si="8"/>
        <v>28608.86966016401</v>
      </c>
      <c r="F75">
        <f t="shared" si="9"/>
        <v>28609</v>
      </c>
      <c r="G75">
        <f t="shared" si="6"/>
        <v>-0.08947115999035304</v>
      </c>
      <c r="K75">
        <f t="shared" si="7"/>
        <v>-0.08947115999035304</v>
      </c>
      <c r="O75">
        <f t="shared" si="10"/>
        <v>-0.08903306985116997</v>
      </c>
      <c r="Q75" s="2">
        <f t="shared" si="11"/>
        <v>34750.139</v>
      </c>
    </row>
    <row r="76" spans="1:17" ht="12.75">
      <c r="A76" s="53" t="s">
        <v>205</v>
      </c>
      <c r="B76" s="55" t="s">
        <v>32</v>
      </c>
      <c r="C76" s="54">
        <v>50107.744</v>
      </c>
      <c r="D76" s="11"/>
      <c r="E76" s="34">
        <f t="shared" si="8"/>
        <v>29102.871191881233</v>
      </c>
      <c r="F76">
        <f t="shared" si="9"/>
        <v>29103</v>
      </c>
      <c r="G76">
        <f t="shared" si="6"/>
        <v>-0.08841971999936504</v>
      </c>
      <c r="K76">
        <f t="shared" si="7"/>
        <v>-0.08841971999936504</v>
      </c>
      <c r="O76">
        <f t="shared" si="10"/>
        <v>-0.0905296236677138</v>
      </c>
      <c r="Q76" s="2">
        <f t="shared" si="11"/>
        <v>35089.244</v>
      </c>
    </row>
    <row r="77" spans="1:17" ht="12.75">
      <c r="A77" s="53" t="s">
        <v>205</v>
      </c>
      <c r="B77" s="55" t="s">
        <v>32</v>
      </c>
      <c r="C77" s="54">
        <v>50519.597</v>
      </c>
      <c r="D77" s="11"/>
      <c r="E77" s="34">
        <f t="shared" si="8"/>
        <v>29702.85058717867</v>
      </c>
      <c r="F77">
        <f t="shared" si="9"/>
        <v>29703</v>
      </c>
      <c r="G77">
        <f t="shared" si="6"/>
        <v>-0.10256372000003466</v>
      </c>
      <c r="K77">
        <f t="shared" si="7"/>
        <v>-0.10256372000003466</v>
      </c>
      <c r="O77">
        <f t="shared" si="10"/>
        <v>-0.09234730036796947</v>
      </c>
      <c r="Q77" s="2">
        <f t="shared" si="11"/>
        <v>35501.097</v>
      </c>
    </row>
    <row r="78" spans="1:17" ht="12.75">
      <c r="A78" s="53" t="s">
        <v>205</v>
      </c>
      <c r="B78" s="55" t="s">
        <v>32</v>
      </c>
      <c r="C78" s="54">
        <v>50845.658</v>
      </c>
      <c r="D78" s="11"/>
      <c r="E78" s="34">
        <f t="shared" si="8"/>
        <v>30177.849874813037</v>
      </c>
      <c r="F78">
        <f t="shared" si="9"/>
        <v>30178</v>
      </c>
      <c r="G78">
        <f t="shared" si="6"/>
        <v>-0.10305271999823162</v>
      </c>
      <c r="K78">
        <f t="shared" si="7"/>
        <v>-0.10305271999823162</v>
      </c>
      <c r="O78">
        <f t="shared" si="10"/>
        <v>-0.09378629442233853</v>
      </c>
      <c r="Q78" s="2">
        <f t="shared" si="11"/>
        <v>35827.158</v>
      </c>
    </row>
    <row r="79" spans="1:17" ht="12.75">
      <c r="A79" s="53" t="s">
        <v>205</v>
      </c>
      <c r="B79" s="55" t="s">
        <v>32</v>
      </c>
      <c r="C79" s="54">
        <v>50869.671</v>
      </c>
      <c r="D79" s="11"/>
      <c r="E79" s="34">
        <f t="shared" si="8"/>
        <v>30212.831543562024</v>
      </c>
      <c r="F79">
        <f t="shared" si="9"/>
        <v>30213</v>
      </c>
      <c r="G79">
        <f t="shared" si="6"/>
        <v>-0.11563611999736167</v>
      </c>
      <c r="K79">
        <f t="shared" si="7"/>
        <v>-0.11563611999736167</v>
      </c>
      <c r="O79">
        <f t="shared" si="10"/>
        <v>-0.09389232556318677</v>
      </c>
      <c r="Q79" s="2">
        <f t="shared" si="11"/>
        <v>35851.171</v>
      </c>
    </row>
    <row r="80" spans="1:17" ht="12.75">
      <c r="A80" s="53" t="s">
        <v>205</v>
      </c>
      <c r="B80" s="55" t="s">
        <v>32</v>
      </c>
      <c r="C80" s="54">
        <v>50902.626</v>
      </c>
      <c r="D80" s="11"/>
      <c r="E80" s="34">
        <f t="shared" si="8"/>
        <v>30260.839743021595</v>
      </c>
      <c r="F80">
        <f t="shared" si="9"/>
        <v>30261</v>
      </c>
      <c r="G80">
        <f t="shared" si="6"/>
        <v>-0.11000764000345953</v>
      </c>
      <c r="K80">
        <f t="shared" si="7"/>
        <v>-0.11000764000345953</v>
      </c>
      <c r="O80">
        <f t="shared" si="10"/>
        <v>-0.09403773969920723</v>
      </c>
      <c r="Q80" s="2">
        <f t="shared" si="11"/>
        <v>35884.126</v>
      </c>
    </row>
    <row r="81" spans="1:17" ht="12.75">
      <c r="A81" s="53" t="s">
        <v>246</v>
      </c>
      <c r="B81" s="55" t="s">
        <v>32</v>
      </c>
      <c r="C81" s="54">
        <v>51555.4556</v>
      </c>
      <c r="D81" s="11"/>
      <c r="E81" s="34">
        <f t="shared" si="8"/>
        <v>31211.86913613095</v>
      </c>
      <c r="F81">
        <f t="shared" si="9"/>
        <v>31212</v>
      </c>
      <c r="G81">
        <f t="shared" si="6"/>
        <v>-0.08983087999513373</v>
      </c>
      <c r="K81">
        <f t="shared" si="7"/>
        <v>-0.08983087999513373</v>
      </c>
      <c r="O81">
        <f t="shared" si="10"/>
        <v>-0.09691875726911245</v>
      </c>
      <c r="Q81" s="2">
        <f t="shared" si="11"/>
        <v>36536.9556</v>
      </c>
    </row>
    <row r="82" spans="1:17" ht="12.75">
      <c r="A82" s="53" t="s">
        <v>205</v>
      </c>
      <c r="B82" s="55" t="s">
        <v>32</v>
      </c>
      <c r="C82" s="54">
        <v>51609.667</v>
      </c>
      <c r="D82" s="11"/>
      <c r="E82" s="34">
        <f t="shared" si="8"/>
        <v>31290.84324337365</v>
      </c>
      <c r="F82">
        <f t="shared" si="9"/>
        <v>31291</v>
      </c>
      <c r="G82">
        <f t="shared" si="6"/>
        <v>-0.1076048399991123</v>
      </c>
      <c r="K82">
        <f t="shared" si="7"/>
        <v>-0.1076048399991123</v>
      </c>
      <c r="O82">
        <f t="shared" si="10"/>
        <v>-0.09715808470131278</v>
      </c>
      <c r="Q82" s="2">
        <f t="shared" si="11"/>
        <v>36591.167</v>
      </c>
    </row>
    <row r="83" spans="1:21" ht="12.75">
      <c r="A83" s="10" t="s">
        <v>31</v>
      </c>
      <c r="B83" s="33" t="s">
        <v>32</v>
      </c>
      <c r="C83" s="31">
        <v>52141.5583</v>
      </c>
      <c r="D83" s="31">
        <v>0.0028</v>
      </c>
      <c r="E83" s="34">
        <f t="shared" si="8"/>
        <v>32065.69208637822</v>
      </c>
      <c r="F83">
        <f t="shared" si="9"/>
        <v>32065.5</v>
      </c>
      <c r="O83">
        <f t="shared" si="10"/>
        <v>-0.09950440237522612</v>
      </c>
      <c r="Q83" s="2">
        <f t="shared" si="11"/>
        <v>37123.0583</v>
      </c>
      <c r="U83">
        <f>+C83-(C$7+F83*C$8)</f>
        <v>0.13185677999717882</v>
      </c>
    </row>
    <row r="84" spans="1:17" ht="12.75">
      <c r="A84" s="36" t="s">
        <v>46</v>
      </c>
      <c r="B84" s="37" t="s">
        <v>32</v>
      </c>
      <c r="C84" s="38">
        <v>52607.7686</v>
      </c>
      <c r="D84" s="38">
        <v>0.0001</v>
      </c>
      <c r="E84" s="34">
        <f t="shared" si="8"/>
        <v>32744.858133184818</v>
      </c>
      <c r="F84">
        <f t="shared" si="9"/>
        <v>32745</v>
      </c>
      <c r="G84">
        <f aca="true" t="shared" si="12" ref="G84:G89">+C84-(C$7+F84*C$8)</f>
        <v>-0.0973837999990792</v>
      </c>
      <c r="J84">
        <f>+G84</f>
        <v>-0.0973837999990792</v>
      </c>
      <c r="O84">
        <f t="shared" si="10"/>
        <v>-0.10156292123826566</v>
      </c>
      <c r="Q84" s="2">
        <f t="shared" si="11"/>
        <v>37589.2686</v>
      </c>
    </row>
    <row r="85" spans="1:17" ht="12.75">
      <c r="A85" s="35" t="s">
        <v>33</v>
      </c>
      <c r="B85" s="33" t="s">
        <v>32</v>
      </c>
      <c r="C85" s="31">
        <v>53032.6758</v>
      </c>
      <c r="D85" s="31">
        <v>0.0002</v>
      </c>
      <c r="E85" s="34">
        <f t="shared" si="8"/>
        <v>33363.85463172561</v>
      </c>
      <c r="F85">
        <f>ROUND(2*E85,0)/2</f>
        <v>33364</v>
      </c>
      <c r="G85">
        <f t="shared" si="12"/>
        <v>-0.0997873599990271</v>
      </c>
      <c r="I85">
        <f>+G85</f>
        <v>-0.0997873599990271</v>
      </c>
      <c r="O85">
        <f t="shared" si="10"/>
        <v>-0.10343815770069609</v>
      </c>
      <c r="Q85" s="2">
        <f t="shared" si="11"/>
        <v>38014.1758</v>
      </c>
    </row>
    <row r="86" spans="1:17" ht="12.75">
      <c r="A86" s="31" t="s">
        <v>43</v>
      </c>
      <c r="B86" s="32" t="s">
        <v>44</v>
      </c>
      <c r="C86" s="31">
        <v>54507.4964</v>
      </c>
      <c r="D86" s="31">
        <v>0.0013</v>
      </c>
      <c r="E86" s="34">
        <f t="shared" si="8"/>
        <v>35512.34443697214</v>
      </c>
      <c r="F86">
        <f>ROUND(2*E86,0)/2</f>
        <v>35512.5</v>
      </c>
      <c r="G86">
        <f t="shared" si="12"/>
        <v>-0.1067854999928386</v>
      </c>
      <c r="I86">
        <f>+G86</f>
        <v>-0.1067854999928386</v>
      </c>
      <c r="O86">
        <f t="shared" si="10"/>
        <v>-0.10994695501819489</v>
      </c>
      <c r="Q86" s="2">
        <f t="shared" si="11"/>
        <v>39488.9964</v>
      </c>
    </row>
    <row r="87" spans="1:17" ht="12.75">
      <c r="A87" s="31" t="s">
        <v>45</v>
      </c>
      <c r="B87" s="32" t="s">
        <v>32</v>
      </c>
      <c r="C87" s="31">
        <v>55983.6853</v>
      </c>
      <c r="D87" s="31">
        <v>0.0002</v>
      </c>
      <c r="E87" s="34">
        <f t="shared" si="8"/>
        <v>37662.827554897165</v>
      </c>
      <c r="F87">
        <f>ROUND(2*E87,0)/2</f>
        <v>37663</v>
      </c>
      <c r="G87">
        <f t="shared" si="12"/>
        <v>-0.11837412000022596</v>
      </c>
      <c r="I87">
        <f>+G87</f>
        <v>-0.11837412000022596</v>
      </c>
      <c r="O87">
        <f t="shared" si="10"/>
        <v>-0.11646181125802789</v>
      </c>
      <c r="Q87" s="2">
        <f t="shared" si="11"/>
        <v>40965.1853</v>
      </c>
    </row>
    <row r="88" spans="1:17" ht="12.75">
      <c r="A88" s="56" t="s">
        <v>283</v>
      </c>
      <c r="B88" s="57"/>
      <c r="C88" s="56">
        <v>57094.3494</v>
      </c>
      <c r="D88" s="56">
        <v>0.0008</v>
      </c>
      <c r="E88" s="34">
        <f t="shared" si="8"/>
        <v>39280.82129318866</v>
      </c>
      <c r="F88">
        <f>ROUND(2*E88,0)/2</f>
        <v>39281</v>
      </c>
      <c r="G88">
        <f t="shared" si="12"/>
        <v>-0.12267243999667699</v>
      </c>
      <c r="I88">
        <f>+G88</f>
        <v>-0.12267243999667699</v>
      </c>
      <c r="O88">
        <f t="shared" si="10"/>
        <v>-0.12136347942638398</v>
      </c>
      <c r="Q88" s="2">
        <f t="shared" si="11"/>
        <v>42075.8494</v>
      </c>
    </row>
    <row r="89" spans="1:17" ht="12.75">
      <c r="A89" s="58" t="s">
        <v>284</v>
      </c>
      <c r="B89" s="59" t="s">
        <v>32</v>
      </c>
      <c r="C89" s="60">
        <v>58126.76036000019</v>
      </c>
      <c r="D89" s="60">
        <v>0.0014</v>
      </c>
      <c r="E89" s="34">
        <f>+(C89-C$7)/C$8</f>
        <v>40784.817387618845</v>
      </c>
      <c r="F89">
        <f>ROUND(2*E89,0)/2</f>
        <v>40785</v>
      </c>
      <c r="G89">
        <f t="shared" si="12"/>
        <v>-0.12535339980968274</v>
      </c>
      <c r="I89">
        <f>+G89</f>
        <v>-0.12535339980968274</v>
      </c>
      <c r="O89">
        <f>+C$11+C$12*$F89</f>
        <v>-0.1259197890216915</v>
      </c>
      <c r="Q89" s="2">
        <f>+C89-15018.5</f>
        <v>43108.26036000019</v>
      </c>
    </row>
    <row r="90" spans="2:4" ht="12.75">
      <c r="B90" s="16"/>
      <c r="C90" s="11"/>
      <c r="D90" s="11"/>
    </row>
    <row r="91" spans="2:4" ht="12.75">
      <c r="B91" s="16"/>
      <c r="C91" s="11"/>
      <c r="D91" s="11"/>
    </row>
    <row r="92" spans="2:4" ht="12.75">
      <c r="B92" s="16"/>
      <c r="C92" s="11"/>
      <c r="D92" s="11"/>
    </row>
    <row r="93" spans="2:4" ht="12.75">
      <c r="B93" s="16"/>
      <c r="C93" s="11"/>
      <c r="D93" s="11"/>
    </row>
    <row r="94" spans="2:4" ht="12.75">
      <c r="B94" s="16"/>
      <c r="C94" s="11"/>
      <c r="D94" s="11"/>
    </row>
    <row r="95" spans="2:4" ht="12.75">
      <c r="B95" s="16"/>
      <c r="C95" s="11"/>
      <c r="D95" s="11"/>
    </row>
    <row r="96" spans="2:4" ht="12.75">
      <c r="B96" s="16"/>
      <c r="C96" s="11"/>
      <c r="D96" s="11"/>
    </row>
    <row r="97" spans="2:4" ht="12.75">
      <c r="B97" s="16"/>
      <c r="C97" s="11"/>
      <c r="D97" s="11"/>
    </row>
    <row r="98" spans="2:4" ht="12.75">
      <c r="B98" s="16"/>
      <c r="C98" s="11"/>
      <c r="D98" s="11"/>
    </row>
    <row r="99" spans="2:4" ht="12.75">
      <c r="B99" s="16"/>
      <c r="C99" s="11"/>
      <c r="D99" s="11"/>
    </row>
    <row r="100" spans="2:4" ht="12.75">
      <c r="B100" s="16"/>
      <c r="C100" s="11"/>
      <c r="D100" s="11"/>
    </row>
    <row r="101" spans="2:4" ht="12.75">
      <c r="B101" s="16"/>
      <c r="C101" s="11"/>
      <c r="D101" s="11"/>
    </row>
    <row r="102" spans="2:4" ht="12.75">
      <c r="B102" s="16"/>
      <c r="C102" s="11"/>
      <c r="D102" s="11"/>
    </row>
    <row r="103" spans="2:4" ht="12.75">
      <c r="B103" s="16"/>
      <c r="C103" s="11"/>
      <c r="D103" s="11"/>
    </row>
    <row r="104" spans="2:4" ht="12.75">
      <c r="B104" s="16"/>
      <c r="C104" s="11"/>
      <c r="D104" s="11"/>
    </row>
    <row r="105" spans="2:4" ht="12.75">
      <c r="B105" s="16"/>
      <c r="C105" s="11"/>
      <c r="D105" s="11"/>
    </row>
    <row r="106" spans="2:4" ht="12.75">
      <c r="B106" s="16"/>
      <c r="C106" s="11"/>
      <c r="D106" s="11"/>
    </row>
    <row r="107" spans="2:4" ht="12.75">
      <c r="B107" s="16"/>
      <c r="C107" s="11"/>
      <c r="D107" s="11"/>
    </row>
    <row r="108" spans="2:4" ht="12.75">
      <c r="B108" s="16"/>
      <c r="C108" s="11"/>
      <c r="D108" s="11"/>
    </row>
    <row r="109" spans="2:4" ht="12.75">
      <c r="B109" s="16"/>
      <c r="C109" s="11"/>
      <c r="D109" s="11"/>
    </row>
    <row r="110" spans="2:4" ht="12.75">
      <c r="B110" s="16"/>
      <c r="C110" s="11"/>
      <c r="D110" s="11"/>
    </row>
    <row r="111" spans="2:4" ht="12.75">
      <c r="B111" s="16"/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otectedRanges>
    <protectedRange sqref="A89:D89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4"/>
  <sheetViews>
    <sheetView zoomScalePageLayoutView="0" workbookViewId="0" topLeftCell="A30">
      <selection activeCell="A16" sqref="A16:C77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0" t="s">
        <v>51</v>
      </c>
      <c r="I1" s="41" t="s">
        <v>52</v>
      </c>
      <c r="J1" s="42" t="s">
        <v>53</v>
      </c>
    </row>
    <row r="2" spans="9:10" ht="12.75">
      <c r="I2" s="43" t="s">
        <v>54</v>
      </c>
      <c r="J2" s="44" t="s">
        <v>55</v>
      </c>
    </row>
    <row r="3" spans="1:10" ht="12.75">
      <c r="A3" s="45" t="s">
        <v>56</v>
      </c>
      <c r="I3" s="43" t="s">
        <v>57</v>
      </c>
      <c r="J3" s="44" t="s">
        <v>58</v>
      </c>
    </row>
    <row r="4" spans="9:10" ht="12.75">
      <c r="I4" s="43" t="s">
        <v>59</v>
      </c>
      <c r="J4" s="44" t="s">
        <v>58</v>
      </c>
    </row>
    <row r="5" spans="9:10" ht="13.5" thickBot="1">
      <c r="I5" s="46" t="s">
        <v>60</v>
      </c>
      <c r="J5" s="47" t="s">
        <v>61</v>
      </c>
    </row>
    <row r="10" ht="13.5" thickBot="1"/>
    <row r="11" spans="1:16" ht="12.75" customHeight="1" thickBot="1">
      <c r="A11" s="11" t="str">
        <f aca="true" t="shared" si="0" ref="A11:A42">P11</f>
        <v>IBVS 5583 </v>
      </c>
      <c r="B11" s="16" t="str">
        <f aca="true" t="shared" si="1" ref="B11:B42">IF(H11=INT(H11),"I","II")</f>
        <v>I</v>
      </c>
      <c r="C11" s="11">
        <f aca="true" t="shared" si="2" ref="C11:C42">1*G11</f>
        <v>52141.5583</v>
      </c>
      <c r="D11" s="13" t="str">
        <f aca="true" t="shared" si="3" ref="D11:D42">VLOOKUP(F11,I$1:J$5,2,FALSE)</f>
        <v>vis</v>
      </c>
      <c r="E11" s="48">
        <f>VLOOKUP(C11,A!C$21:E$973,3,FALSE)</f>
        <v>32065.69208637822</v>
      </c>
      <c r="F11" s="16" t="s">
        <v>60</v>
      </c>
      <c r="G11" s="13" t="str">
        <f aca="true" t="shared" si="4" ref="G11:G42">MID(I11,3,LEN(I11)-3)</f>
        <v>52141.5583</v>
      </c>
      <c r="H11" s="11">
        <f aca="true" t="shared" si="5" ref="H11:H42">1*K11</f>
        <v>32066</v>
      </c>
      <c r="I11" s="49" t="s">
        <v>250</v>
      </c>
      <c r="J11" s="50" t="s">
        <v>251</v>
      </c>
      <c r="K11" s="49">
        <v>32066</v>
      </c>
      <c r="L11" s="49" t="s">
        <v>252</v>
      </c>
      <c r="M11" s="50" t="s">
        <v>243</v>
      </c>
      <c r="N11" s="50" t="s">
        <v>244</v>
      </c>
      <c r="O11" s="51" t="s">
        <v>253</v>
      </c>
      <c r="P11" s="52" t="s">
        <v>254</v>
      </c>
    </row>
    <row r="12" spans="1:16" ht="12.75" customHeight="1" thickBot="1">
      <c r="A12" s="11" t="str">
        <f t="shared" si="0"/>
        <v> JAAVSO 41;122 </v>
      </c>
      <c r="B12" s="16" t="str">
        <f t="shared" si="1"/>
        <v>I</v>
      </c>
      <c r="C12" s="11">
        <f t="shared" si="2"/>
        <v>52607.7686</v>
      </c>
      <c r="D12" s="13" t="str">
        <f t="shared" si="3"/>
        <v>vis</v>
      </c>
      <c r="E12" s="48">
        <f>VLOOKUP(C12,A!C$21:E$973,3,FALSE)</f>
        <v>32744.858133184818</v>
      </c>
      <c r="F12" s="16" t="s">
        <v>60</v>
      </c>
      <c r="G12" s="13" t="str">
        <f t="shared" si="4"/>
        <v>52607.7686</v>
      </c>
      <c r="H12" s="11">
        <f t="shared" si="5"/>
        <v>32745</v>
      </c>
      <c r="I12" s="49" t="s">
        <v>255</v>
      </c>
      <c r="J12" s="50" t="s">
        <v>256</v>
      </c>
      <c r="K12" s="49">
        <v>32745</v>
      </c>
      <c r="L12" s="49" t="s">
        <v>257</v>
      </c>
      <c r="M12" s="50" t="s">
        <v>258</v>
      </c>
      <c r="N12" s="50" t="s">
        <v>198</v>
      </c>
      <c r="O12" s="51" t="s">
        <v>259</v>
      </c>
      <c r="P12" s="51" t="s">
        <v>260</v>
      </c>
    </row>
    <row r="13" spans="1:16" ht="12.75" customHeight="1" thickBot="1">
      <c r="A13" s="11" t="str">
        <f t="shared" si="0"/>
        <v>IBVS 5603 </v>
      </c>
      <c r="B13" s="16" t="str">
        <f t="shared" si="1"/>
        <v>I</v>
      </c>
      <c r="C13" s="11">
        <f t="shared" si="2"/>
        <v>53032.6758</v>
      </c>
      <c r="D13" s="13" t="str">
        <f t="shared" si="3"/>
        <v>vis</v>
      </c>
      <c r="E13" s="48">
        <f>VLOOKUP(C13,A!C$21:E$973,3,FALSE)</f>
        <v>33363.85463172561</v>
      </c>
      <c r="F13" s="16" t="s">
        <v>60</v>
      </c>
      <c r="G13" s="13" t="str">
        <f t="shared" si="4"/>
        <v>53032.6758</v>
      </c>
      <c r="H13" s="11">
        <f t="shared" si="5"/>
        <v>33364</v>
      </c>
      <c r="I13" s="49" t="s">
        <v>261</v>
      </c>
      <c r="J13" s="50" t="s">
        <v>262</v>
      </c>
      <c r="K13" s="49">
        <v>33364</v>
      </c>
      <c r="L13" s="49" t="s">
        <v>263</v>
      </c>
      <c r="M13" s="50" t="s">
        <v>243</v>
      </c>
      <c r="N13" s="50" t="s">
        <v>244</v>
      </c>
      <c r="O13" s="51" t="s">
        <v>259</v>
      </c>
      <c r="P13" s="52" t="s">
        <v>264</v>
      </c>
    </row>
    <row r="14" spans="1:16" ht="12.75" customHeight="1" thickBot="1">
      <c r="A14" s="11" t="str">
        <f t="shared" si="0"/>
        <v>BAVM 201 </v>
      </c>
      <c r="B14" s="16" t="str">
        <f t="shared" si="1"/>
        <v>II</v>
      </c>
      <c r="C14" s="11">
        <f t="shared" si="2"/>
        <v>54507.4964</v>
      </c>
      <c r="D14" s="13" t="str">
        <f t="shared" si="3"/>
        <v>vis</v>
      </c>
      <c r="E14" s="48">
        <f>VLOOKUP(C14,A!C$21:E$973,3,FALSE)</f>
        <v>35512.34443697214</v>
      </c>
      <c r="F14" s="16" t="s">
        <v>60</v>
      </c>
      <c r="G14" s="13" t="str">
        <f t="shared" si="4"/>
        <v>54507.4964</v>
      </c>
      <c r="H14" s="11">
        <f t="shared" si="5"/>
        <v>35512.5</v>
      </c>
      <c r="I14" s="49" t="s">
        <v>265</v>
      </c>
      <c r="J14" s="50" t="s">
        <v>266</v>
      </c>
      <c r="K14" s="49">
        <v>35512.5</v>
      </c>
      <c r="L14" s="49" t="s">
        <v>267</v>
      </c>
      <c r="M14" s="50" t="s">
        <v>258</v>
      </c>
      <c r="N14" s="50" t="s">
        <v>268</v>
      </c>
      <c r="O14" s="51" t="s">
        <v>269</v>
      </c>
      <c r="P14" s="52" t="s">
        <v>270</v>
      </c>
    </row>
    <row r="15" spans="1:16" ht="12.75" customHeight="1" thickBot="1">
      <c r="A15" s="11" t="str">
        <f t="shared" si="0"/>
        <v>IBVS 6029 </v>
      </c>
      <c r="B15" s="16" t="str">
        <f t="shared" si="1"/>
        <v>I</v>
      </c>
      <c r="C15" s="11">
        <f t="shared" si="2"/>
        <v>55983.6853</v>
      </c>
      <c r="D15" s="13" t="str">
        <f t="shared" si="3"/>
        <v>vis</v>
      </c>
      <c r="E15" s="48">
        <f>VLOOKUP(C15,A!C$21:E$973,3,FALSE)</f>
        <v>37662.827554897165</v>
      </c>
      <c r="F15" s="16" t="s">
        <v>60</v>
      </c>
      <c r="G15" s="13" t="str">
        <f t="shared" si="4"/>
        <v>55983.6853</v>
      </c>
      <c r="H15" s="11">
        <f t="shared" si="5"/>
        <v>37663</v>
      </c>
      <c r="I15" s="49" t="s">
        <v>271</v>
      </c>
      <c r="J15" s="50" t="s">
        <v>272</v>
      </c>
      <c r="K15" s="49" t="s">
        <v>273</v>
      </c>
      <c r="L15" s="49" t="s">
        <v>274</v>
      </c>
      <c r="M15" s="50" t="s">
        <v>258</v>
      </c>
      <c r="N15" s="50" t="s">
        <v>60</v>
      </c>
      <c r="O15" s="51" t="s">
        <v>275</v>
      </c>
      <c r="P15" s="52" t="s">
        <v>276</v>
      </c>
    </row>
    <row r="16" spans="1:16" ht="12.75" customHeight="1" thickBot="1">
      <c r="A16" s="11" t="str">
        <f t="shared" si="0"/>
        <v> VSS 4.271 </v>
      </c>
      <c r="B16" s="16" t="str">
        <f t="shared" si="1"/>
        <v>I</v>
      </c>
      <c r="C16" s="11">
        <f t="shared" si="2"/>
        <v>25302.46</v>
      </c>
      <c r="D16" s="13" t="str">
        <f t="shared" si="3"/>
        <v>vis</v>
      </c>
      <c r="E16" s="48">
        <f>VLOOKUP(C16,A!C$21:E$973,3,FALSE)</f>
        <v>-7032.981392659961</v>
      </c>
      <c r="F16" s="16" t="s">
        <v>60</v>
      </c>
      <c r="G16" s="13" t="str">
        <f t="shared" si="4"/>
        <v>25302.460</v>
      </c>
      <c r="H16" s="11">
        <f t="shared" si="5"/>
        <v>-7033</v>
      </c>
      <c r="I16" s="49" t="s">
        <v>62</v>
      </c>
      <c r="J16" s="50" t="s">
        <v>63</v>
      </c>
      <c r="K16" s="49">
        <v>-7033</v>
      </c>
      <c r="L16" s="49" t="s">
        <v>64</v>
      </c>
      <c r="M16" s="50" t="s">
        <v>65</v>
      </c>
      <c r="N16" s="50"/>
      <c r="O16" s="51" t="s">
        <v>66</v>
      </c>
      <c r="P16" s="51" t="s">
        <v>67</v>
      </c>
    </row>
    <row r="17" spans="1:16" ht="12.75" customHeight="1" thickBot="1">
      <c r="A17" s="11" t="str">
        <f t="shared" si="0"/>
        <v> VSS 4.271 </v>
      </c>
      <c r="B17" s="16" t="str">
        <f t="shared" si="1"/>
        <v>I</v>
      </c>
      <c r="C17" s="11">
        <f t="shared" si="2"/>
        <v>25322.329</v>
      </c>
      <c r="D17" s="13" t="str">
        <f t="shared" si="3"/>
        <v>vis</v>
      </c>
      <c r="E17" s="48">
        <f>VLOOKUP(C17,A!C$21:E$973,3,FALSE)</f>
        <v>-7004.036622061795</v>
      </c>
      <c r="F17" s="16" t="s">
        <v>60</v>
      </c>
      <c r="G17" s="13" t="str">
        <f t="shared" si="4"/>
        <v>25322.329</v>
      </c>
      <c r="H17" s="11">
        <f t="shared" si="5"/>
        <v>-7004</v>
      </c>
      <c r="I17" s="49" t="s">
        <v>68</v>
      </c>
      <c r="J17" s="50" t="s">
        <v>69</v>
      </c>
      <c r="K17" s="49">
        <v>-7004</v>
      </c>
      <c r="L17" s="49" t="s">
        <v>70</v>
      </c>
      <c r="M17" s="50" t="s">
        <v>65</v>
      </c>
      <c r="N17" s="50"/>
      <c r="O17" s="51" t="s">
        <v>66</v>
      </c>
      <c r="P17" s="51" t="s">
        <v>67</v>
      </c>
    </row>
    <row r="18" spans="1:16" ht="12.75" customHeight="1" thickBot="1">
      <c r="A18" s="11" t="str">
        <f t="shared" si="0"/>
        <v> VSS 4.271 </v>
      </c>
      <c r="B18" s="16" t="str">
        <f t="shared" si="1"/>
        <v>I</v>
      </c>
      <c r="C18" s="11">
        <f t="shared" si="2"/>
        <v>26331.425</v>
      </c>
      <c r="D18" s="13" t="str">
        <f t="shared" si="3"/>
        <v>vis</v>
      </c>
      <c r="E18" s="48">
        <f>VLOOKUP(C18,A!C$21:E$973,3,FALSE)</f>
        <v>-5534.0053053612855</v>
      </c>
      <c r="F18" s="16" t="s">
        <v>60</v>
      </c>
      <c r="G18" s="13" t="str">
        <f t="shared" si="4"/>
        <v>26331.425</v>
      </c>
      <c r="H18" s="11">
        <f t="shared" si="5"/>
        <v>-5534</v>
      </c>
      <c r="I18" s="49" t="s">
        <v>71</v>
      </c>
      <c r="J18" s="50" t="s">
        <v>72</v>
      </c>
      <c r="K18" s="49">
        <v>-5534</v>
      </c>
      <c r="L18" s="49" t="s">
        <v>73</v>
      </c>
      <c r="M18" s="50" t="s">
        <v>65</v>
      </c>
      <c r="N18" s="50"/>
      <c r="O18" s="51" t="s">
        <v>66</v>
      </c>
      <c r="P18" s="51" t="s">
        <v>67</v>
      </c>
    </row>
    <row r="19" spans="1:16" ht="12.75" customHeight="1" thickBot="1">
      <c r="A19" s="11" t="str">
        <f t="shared" si="0"/>
        <v> VSS 4.271 </v>
      </c>
      <c r="B19" s="16" t="str">
        <f t="shared" si="1"/>
        <v>I</v>
      </c>
      <c r="C19" s="11">
        <f t="shared" si="2"/>
        <v>27368.631</v>
      </c>
      <c r="D19" s="13" t="str">
        <f t="shared" si="3"/>
        <v>vis</v>
      </c>
      <c r="E19" s="48">
        <f>VLOOKUP(C19,A!C$21:E$973,3,FALSE)</f>
        <v>-4023.023890441718</v>
      </c>
      <c r="F19" s="16" t="s">
        <v>60</v>
      </c>
      <c r="G19" s="13" t="str">
        <f t="shared" si="4"/>
        <v>27368.631</v>
      </c>
      <c r="H19" s="11">
        <f t="shared" si="5"/>
        <v>-4023</v>
      </c>
      <c r="I19" s="49" t="s">
        <v>74</v>
      </c>
      <c r="J19" s="50" t="s">
        <v>75</v>
      </c>
      <c r="K19" s="49">
        <v>-4023</v>
      </c>
      <c r="L19" s="49" t="s">
        <v>76</v>
      </c>
      <c r="M19" s="50" t="s">
        <v>65</v>
      </c>
      <c r="N19" s="50"/>
      <c r="O19" s="51" t="s">
        <v>66</v>
      </c>
      <c r="P19" s="51" t="s">
        <v>67</v>
      </c>
    </row>
    <row r="20" spans="1:16" ht="12.75" customHeight="1" thickBot="1">
      <c r="A20" s="11" t="str">
        <f t="shared" si="0"/>
        <v> VSS 4.271 </v>
      </c>
      <c r="B20" s="16" t="str">
        <f t="shared" si="1"/>
        <v>I</v>
      </c>
      <c r="C20" s="11">
        <f t="shared" si="2"/>
        <v>27421.502</v>
      </c>
      <c r="D20" s="13" t="str">
        <f t="shared" si="3"/>
        <v>vis</v>
      </c>
      <c r="E20" s="48">
        <f>VLOOKUP(C20,A!C$21:E$973,3,FALSE)</f>
        <v>-3946.0024517032116</v>
      </c>
      <c r="F20" s="16" t="s">
        <v>60</v>
      </c>
      <c r="G20" s="13" t="str">
        <f t="shared" si="4"/>
        <v>27421.502</v>
      </c>
      <c r="H20" s="11">
        <f t="shared" si="5"/>
        <v>-3946</v>
      </c>
      <c r="I20" s="49" t="s">
        <v>77</v>
      </c>
      <c r="J20" s="50" t="s">
        <v>78</v>
      </c>
      <c r="K20" s="49">
        <v>-3946</v>
      </c>
      <c r="L20" s="49" t="s">
        <v>79</v>
      </c>
      <c r="M20" s="50" t="s">
        <v>65</v>
      </c>
      <c r="N20" s="50"/>
      <c r="O20" s="51" t="s">
        <v>66</v>
      </c>
      <c r="P20" s="51" t="s">
        <v>67</v>
      </c>
    </row>
    <row r="21" spans="1:16" ht="12.75" customHeight="1" thickBot="1">
      <c r="A21" s="11" t="str">
        <f t="shared" si="0"/>
        <v> VSS 4.271 </v>
      </c>
      <c r="B21" s="16" t="str">
        <f t="shared" si="1"/>
        <v>I</v>
      </c>
      <c r="C21" s="11">
        <f t="shared" si="2"/>
        <v>27472.337</v>
      </c>
      <c r="D21" s="13" t="str">
        <f t="shared" si="3"/>
        <v>vis</v>
      </c>
      <c r="E21" s="48">
        <f>VLOOKUP(C21,A!C$21:E$973,3,FALSE)</f>
        <v>-3871.947017944214</v>
      </c>
      <c r="F21" s="16" t="s">
        <v>60</v>
      </c>
      <c r="G21" s="13" t="str">
        <f t="shared" si="4"/>
        <v>27472.337</v>
      </c>
      <c r="H21" s="11">
        <f t="shared" si="5"/>
        <v>-3872</v>
      </c>
      <c r="I21" s="49" t="s">
        <v>80</v>
      </c>
      <c r="J21" s="50" t="s">
        <v>81</v>
      </c>
      <c r="K21" s="49">
        <v>-3872</v>
      </c>
      <c r="L21" s="49" t="s">
        <v>82</v>
      </c>
      <c r="M21" s="50" t="s">
        <v>65</v>
      </c>
      <c r="N21" s="50"/>
      <c r="O21" s="51" t="s">
        <v>66</v>
      </c>
      <c r="P21" s="51" t="s">
        <v>67</v>
      </c>
    </row>
    <row r="22" spans="1:16" ht="12.75" customHeight="1" thickBot="1">
      <c r="A22" s="11" t="str">
        <f t="shared" si="0"/>
        <v> VSS 4.271 </v>
      </c>
      <c r="B22" s="16" t="str">
        <f t="shared" si="1"/>
        <v>I</v>
      </c>
      <c r="C22" s="11">
        <f t="shared" si="2"/>
        <v>29634.564</v>
      </c>
      <c r="D22" s="13" t="str">
        <f t="shared" si="3"/>
        <v>vis</v>
      </c>
      <c r="E22" s="48">
        <f>VLOOKUP(C22,A!C$21:E$973,3,FALSE)</f>
        <v>-722.0570136082541</v>
      </c>
      <c r="F22" s="16" t="s">
        <v>60</v>
      </c>
      <c r="G22" s="13" t="str">
        <f t="shared" si="4"/>
        <v>29634.564</v>
      </c>
      <c r="H22" s="11">
        <f t="shared" si="5"/>
        <v>-722</v>
      </c>
      <c r="I22" s="49" t="s">
        <v>83</v>
      </c>
      <c r="J22" s="50" t="s">
        <v>84</v>
      </c>
      <c r="K22" s="49">
        <v>-722</v>
      </c>
      <c r="L22" s="49" t="s">
        <v>85</v>
      </c>
      <c r="M22" s="50" t="s">
        <v>65</v>
      </c>
      <c r="N22" s="50"/>
      <c r="O22" s="51" t="s">
        <v>66</v>
      </c>
      <c r="P22" s="51" t="s">
        <v>67</v>
      </c>
    </row>
    <row r="23" spans="1:16" ht="12.75" customHeight="1" thickBot="1">
      <c r="A23" s="11" t="str">
        <f t="shared" si="0"/>
        <v> AOLD 20.362 </v>
      </c>
      <c r="B23" s="16" t="str">
        <f t="shared" si="1"/>
        <v>I</v>
      </c>
      <c r="C23" s="11">
        <f t="shared" si="2"/>
        <v>29639.359</v>
      </c>
      <c r="D23" s="13" t="str">
        <f t="shared" si="3"/>
        <v>vis</v>
      </c>
      <c r="E23" s="48">
        <f>VLOOKUP(C23,A!C$21:E$973,3,FALSE)</f>
        <v>-715.0717513898113</v>
      </c>
      <c r="F23" s="16" t="s">
        <v>60</v>
      </c>
      <c r="G23" s="13" t="str">
        <f t="shared" si="4"/>
        <v>29639.359</v>
      </c>
      <c r="H23" s="11">
        <f t="shared" si="5"/>
        <v>-715</v>
      </c>
      <c r="I23" s="49" t="s">
        <v>86</v>
      </c>
      <c r="J23" s="50" t="s">
        <v>87</v>
      </c>
      <c r="K23" s="49">
        <v>-715</v>
      </c>
      <c r="L23" s="49" t="s">
        <v>88</v>
      </c>
      <c r="M23" s="50" t="s">
        <v>65</v>
      </c>
      <c r="N23" s="50"/>
      <c r="O23" s="51" t="s">
        <v>89</v>
      </c>
      <c r="P23" s="51" t="s">
        <v>90</v>
      </c>
    </row>
    <row r="24" spans="1:16" ht="12.75" customHeight="1" thickBot="1">
      <c r="A24" s="11" t="str">
        <f t="shared" si="0"/>
        <v> AOLD 20.362 </v>
      </c>
      <c r="B24" s="16" t="str">
        <f t="shared" si="1"/>
        <v>I</v>
      </c>
      <c r="C24" s="11">
        <f t="shared" si="2"/>
        <v>29670.31</v>
      </c>
      <c r="D24" s="13" t="str">
        <f t="shared" si="3"/>
        <v>vis</v>
      </c>
      <c r="E24" s="48">
        <f>VLOOKUP(C24,A!C$21:E$973,3,FALSE)</f>
        <v>-669.9829399355999</v>
      </c>
      <c r="F24" s="16" t="s">
        <v>60</v>
      </c>
      <c r="G24" s="13" t="str">
        <f t="shared" si="4"/>
        <v>29670.310</v>
      </c>
      <c r="H24" s="11">
        <f t="shared" si="5"/>
        <v>-670</v>
      </c>
      <c r="I24" s="49" t="s">
        <v>91</v>
      </c>
      <c r="J24" s="50" t="s">
        <v>92</v>
      </c>
      <c r="K24" s="49">
        <v>-670</v>
      </c>
      <c r="L24" s="49" t="s">
        <v>93</v>
      </c>
      <c r="M24" s="50" t="s">
        <v>65</v>
      </c>
      <c r="N24" s="50"/>
      <c r="O24" s="51" t="s">
        <v>89</v>
      </c>
      <c r="P24" s="51" t="s">
        <v>90</v>
      </c>
    </row>
    <row r="25" spans="1:16" ht="12.75" customHeight="1" thickBot="1">
      <c r="A25" s="11" t="str">
        <f t="shared" si="0"/>
        <v> AOLD 20.362 </v>
      </c>
      <c r="B25" s="16" t="str">
        <f t="shared" si="1"/>
        <v>I</v>
      </c>
      <c r="C25" s="11">
        <f t="shared" si="2"/>
        <v>29696.329</v>
      </c>
      <c r="D25" s="13" t="str">
        <f t="shared" si="3"/>
        <v>vis</v>
      </c>
      <c r="E25" s="48">
        <f>VLOOKUP(C25,A!C$21:E$973,3,FALSE)</f>
        <v>-632.0789696203564</v>
      </c>
      <c r="F25" s="16" t="s">
        <v>60</v>
      </c>
      <c r="G25" s="13" t="str">
        <f t="shared" si="4"/>
        <v>29696.329</v>
      </c>
      <c r="H25" s="11">
        <f t="shared" si="5"/>
        <v>-632</v>
      </c>
      <c r="I25" s="49" t="s">
        <v>94</v>
      </c>
      <c r="J25" s="50" t="s">
        <v>95</v>
      </c>
      <c r="K25" s="49">
        <v>-632</v>
      </c>
      <c r="L25" s="49" t="s">
        <v>96</v>
      </c>
      <c r="M25" s="50" t="s">
        <v>65</v>
      </c>
      <c r="N25" s="50"/>
      <c r="O25" s="51" t="s">
        <v>89</v>
      </c>
      <c r="P25" s="51" t="s">
        <v>90</v>
      </c>
    </row>
    <row r="26" spans="1:16" ht="12.75" customHeight="1" thickBot="1">
      <c r="A26" s="11" t="str">
        <f t="shared" si="0"/>
        <v> AOLD 20.362 </v>
      </c>
      <c r="B26" s="16" t="str">
        <f t="shared" si="1"/>
        <v>I</v>
      </c>
      <c r="C26" s="11">
        <f t="shared" si="2"/>
        <v>29963.401</v>
      </c>
      <c r="D26" s="13" t="str">
        <f t="shared" si="3"/>
        <v>vis</v>
      </c>
      <c r="E26" s="48">
        <f>VLOOKUP(C26,A!C$21:E$973,3,FALSE)</f>
        <v>-243.01370346744352</v>
      </c>
      <c r="F26" s="16" t="s">
        <v>60</v>
      </c>
      <c r="G26" s="13" t="str">
        <f t="shared" si="4"/>
        <v>29963.401</v>
      </c>
      <c r="H26" s="11">
        <f t="shared" si="5"/>
        <v>-243</v>
      </c>
      <c r="I26" s="49" t="s">
        <v>97</v>
      </c>
      <c r="J26" s="50" t="s">
        <v>98</v>
      </c>
      <c r="K26" s="49">
        <v>-243</v>
      </c>
      <c r="L26" s="49" t="s">
        <v>99</v>
      </c>
      <c r="M26" s="50" t="s">
        <v>65</v>
      </c>
      <c r="N26" s="50"/>
      <c r="O26" s="51" t="s">
        <v>89</v>
      </c>
      <c r="P26" s="51" t="s">
        <v>90</v>
      </c>
    </row>
    <row r="27" spans="1:16" ht="12.75" customHeight="1" thickBot="1">
      <c r="A27" s="11" t="str">
        <f t="shared" si="0"/>
        <v> AOLD 20.362 </v>
      </c>
      <c r="B27" s="16" t="str">
        <f t="shared" si="1"/>
        <v>I</v>
      </c>
      <c r="C27" s="11">
        <f t="shared" si="2"/>
        <v>29994.333</v>
      </c>
      <c r="D27" s="13" t="str">
        <f t="shared" si="3"/>
        <v>vis</v>
      </c>
      <c r="E27" s="48">
        <f>VLOOKUP(C27,A!C$21:E$973,3,FALSE)</f>
        <v>-197.95257084163194</v>
      </c>
      <c r="F27" s="16" t="s">
        <v>60</v>
      </c>
      <c r="G27" s="13" t="str">
        <f t="shared" si="4"/>
        <v>29994.333</v>
      </c>
      <c r="H27" s="11">
        <f t="shared" si="5"/>
        <v>-198</v>
      </c>
      <c r="I27" s="49" t="s">
        <v>100</v>
      </c>
      <c r="J27" s="50" t="s">
        <v>101</v>
      </c>
      <c r="K27" s="49">
        <v>-198</v>
      </c>
      <c r="L27" s="49" t="s">
        <v>102</v>
      </c>
      <c r="M27" s="50" t="s">
        <v>65</v>
      </c>
      <c r="N27" s="50"/>
      <c r="O27" s="51" t="s">
        <v>89</v>
      </c>
      <c r="P27" s="51" t="s">
        <v>90</v>
      </c>
    </row>
    <row r="28" spans="1:16" ht="12.75" customHeight="1" thickBot="1">
      <c r="A28" s="11" t="str">
        <f t="shared" si="0"/>
        <v> AOLD 20.362 </v>
      </c>
      <c r="B28" s="16" t="str">
        <f t="shared" si="1"/>
        <v>I</v>
      </c>
      <c r="C28" s="11">
        <f t="shared" si="2"/>
        <v>29996.374</v>
      </c>
      <c r="D28" s="13" t="str">
        <f t="shared" si="3"/>
        <v>vis</v>
      </c>
      <c r="E28" s="48">
        <f>VLOOKUP(C28,A!C$21:E$973,3,FALSE)</f>
        <v>-194.97928195991273</v>
      </c>
      <c r="F28" s="16" t="s">
        <v>60</v>
      </c>
      <c r="G28" s="13" t="str">
        <f t="shared" si="4"/>
        <v>29996.374</v>
      </c>
      <c r="H28" s="11">
        <f t="shared" si="5"/>
        <v>-195</v>
      </c>
      <c r="I28" s="49" t="s">
        <v>103</v>
      </c>
      <c r="J28" s="50" t="s">
        <v>104</v>
      </c>
      <c r="K28" s="49">
        <v>-195</v>
      </c>
      <c r="L28" s="49" t="s">
        <v>105</v>
      </c>
      <c r="M28" s="50" t="s">
        <v>65</v>
      </c>
      <c r="N28" s="50"/>
      <c r="O28" s="51" t="s">
        <v>89</v>
      </c>
      <c r="P28" s="51" t="s">
        <v>90</v>
      </c>
    </row>
    <row r="29" spans="1:16" ht="12.75" customHeight="1" thickBot="1">
      <c r="A29" s="11" t="str">
        <f t="shared" si="0"/>
        <v> AOLD 20.362 </v>
      </c>
      <c r="B29" s="16" t="str">
        <f t="shared" si="1"/>
        <v>I</v>
      </c>
      <c r="C29" s="11">
        <f t="shared" si="2"/>
        <v>30000.473</v>
      </c>
      <c r="D29" s="13" t="str">
        <f t="shared" si="3"/>
        <v>vis</v>
      </c>
      <c r="E29" s="48">
        <f>VLOOKUP(C29,A!C$21:E$973,3,FALSE)</f>
        <v>-189.0079389289639</v>
      </c>
      <c r="F29" s="16" t="s">
        <v>60</v>
      </c>
      <c r="G29" s="13" t="str">
        <f t="shared" si="4"/>
        <v>30000.473</v>
      </c>
      <c r="H29" s="11">
        <f t="shared" si="5"/>
        <v>-189</v>
      </c>
      <c r="I29" s="49" t="s">
        <v>106</v>
      </c>
      <c r="J29" s="50" t="s">
        <v>107</v>
      </c>
      <c r="K29" s="49">
        <v>-189</v>
      </c>
      <c r="L29" s="49" t="s">
        <v>108</v>
      </c>
      <c r="M29" s="50" t="s">
        <v>65</v>
      </c>
      <c r="N29" s="50"/>
      <c r="O29" s="51" t="s">
        <v>89</v>
      </c>
      <c r="P29" s="51" t="s">
        <v>90</v>
      </c>
    </row>
    <row r="30" spans="1:16" ht="12.75" customHeight="1" thickBot="1">
      <c r="A30" s="11" t="str">
        <f t="shared" si="0"/>
        <v> AOLD 20.362 </v>
      </c>
      <c r="B30" s="16" t="str">
        <f t="shared" si="1"/>
        <v>I</v>
      </c>
      <c r="C30" s="11">
        <f t="shared" si="2"/>
        <v>30022.43</v>
      </c>
      <c r="D30" s="13" t="str">
        <f t="shared" si="3"/>
        <v>vis</v>
      </c>
      <c r="E30" s="48">
        <f>VLOOKUP(C30,A!C$21:E$973,3,FALSE)</f>
        <v>-157.0214107683221</v>
      </c>
      <c r="F30" s="16" t="s">
        <v>60</v>
      </c>
      <c r="G30" s="13" t="str">
        <f t="shared" si="4"/>
        <v>30022.430</v>
      </c>
      <c r="H30" s="11">
        <f t="shared" si="5"/>
        <v>-157</v>
      </c>
      <c r="I30" s="49" t="s">
        <v>109</v>
      </c>
      <c r="J30" s="50" t="s">
        <v>110</v>
      </c>
      <c r="K30" s="49">
        <v>-157</v>
      </c>
      <c r="L30" s="49" t="s">
        <v>111</v>
      </c>
      <c r="M30" s="50" t="s">
        <v>65</v>
      </c>
      <c r="N30" s="50"/>
      <c r="O30" s="51" t="s">
        <v>89</v>
      </c>
      <c r="P30" s="51" t="s">
        <v>90</v>
      </c>
    </row>
    <row r="31" spans="1:16" ht="12.75" customHeight="1" thickBot="1">
      <c r="A31" s="11" t="str">
        <f t="shared" si="0"/>
        <v> AOLD 20.362 </v>
      </c>
      <c r="B31" s="16" t="str">
        <f t="shared" si="1"/>
        <v>I</v>
      </c>
      <c r="C31" s="11">
        <f t="shared" si="2"/>
        <v>30051.271</v>
      </c>
      <c r="D31" s="13" t="str">
        <f t="shared" si="3"/>
        <v>vis</v>
      </c>
      <c r="E31" s="48">
        <f>VLOOKUP(C31,A!C$21:E$973,3,FALSE)</f>
        <v>-115.00640604631349</v>
      </c>
      <c r="F31" s="16" t="s">
        <v>60</v>
      </c>
      <c r="G31" s="13" t="str">
        <f t="shared" si="4"/>
        <v>30051.271</v>
      </c>
      <c r="H31" s="11">
        <f t="shared" si="5"/>
        <v>-115</v>
      </c>
      <c r="I31" s="49" t="s">
        <v>112</v>
      </c>
      <c r="J31" s="50" t="s">
        <v>113</v>
      </c>
      <c r="K31" s="49">
        <v>-115</v>
      </c>
      <c r="L31" s="49" t="s">
        <v>73</v>
      </c>
      <c r="M31" s="50" t="s">
        <v>65</v>
      </c>
      <c r="N31" s="50"/>
      <c r="O31" s="51" t="s">
        <v>89</v>
      </c>
      <c r="P31" s="51" t="s">
        <v>90</v>
      </c>
    </row>
    <row r="32" spans="1:16" ht="12.75" customHeight="1" thickBot="1">
      <c r="A32" s="11" t="str">
        <f t="shared" si="0"/>
        <v> AOLD 20.362 </v>
      </c>
      <c r="B32" s="16" t="str">
        <f t="shared" si="1"/>
        <v>II</v>
      </c>
      <c r="C32" s="11">
        <f t="shared" si="2"/>
        <v>30056.428</v>
      </c>
      <c r="D32" s="13" t="str">
        <f t="shared" si="3"/>
        <v>vis</v>
      </c>
      <c r="E32" s="48">
        <f>VLOOKUP(C32,A!C$21:E$973,3,FALSE)</f>
        <v>-107.49378930794227</v>
      </c>
      <c r="F32" s="16" t="s">
        <v>60</v>
      </c>
      <c r="G32" s="13" t="str">
        <f t="shared" si="4"/>
        <v>30056.428</v>
      </c>
      <c r="H32" s="11">
        <f t="shared" si="5"/>
        <v>-107.5</v>
      </c>
      <c r="I32" s="49" t="s">
        <v>114</v>
      </c>
      <c r="J32" s="50" t="s">
        <v>115</v>
      </c>
      <c r="K32" s="49">
        <v>-107.5</v>
      </c>
      <c r="L32" s="49" t="s">
        <v>116</v>
      </c>
      <c r="M32" s="50" t="s">
        <v>65</v>
      </c>
      <c r="N32" s="50"/>
      <c r="O32" s="51" t="s">
        <v>89</v>
      </c>
      <c r="P32" s="51" t="s">
        <v>90</v>
      </c>
    </row>
    <row r="33" spans="1:16" ht="12.75" customHeight="1" thickBot="1">
      <c r="A33" s="11" t="str">
        <f t="shared" si="0"/>
        <v> AOLD 20.362 </v>
      </c>
      <c r="B33" s="16" t="str">
        <f t="shared" si="1"/>
        <v>I</v>
      </c>
      <c r="C33" s="11">
        <f t="shared" si="2"/>
        <v>30073.245</v>
      </c>
      <c r="D33" s="13" t="str">
        <f t="shared" si="3"/>
        <v>vis</v>
      </c>
      <c r="E33" s="48">
        <f>VLOOKUP(C33,A!C$21:E$973,3,FALSE)</f>
        <v>-82.9951126181613</v>
      </c>
      <c r="F33" s="16" t="s">
        <v>60</v>
      </c>
      <c r="G33" s="13" t="str">
        <f t="shared" si="4"/>
        <v>30073.245</v>
      </c>
      <c r="H33" s="11">
        <f t="shared" si="5"/>
        <v>-83</v>
      </c>
      <c r="I33" s="49" t="s">
        <v>117</v>
      </c>
      <c r="J33" s="50" t="s">
        <v>118</v>
      </c>
      <c r="K33" s="49">
        <v>-83</v>
      </c>
      <c r="L33" s="49" t="s">
        <v>119</v>
      </c>
      <c r="M33" s="50" t="s">
        <v>65</v>
      </c>
      <c r="N33" s="50"/>
      <c r="O33" s="51" t="s">
        <v>89</v>
      </c>
      <c r="P33" s="51" t="s">
        <v>90</v>
      </c>
    </row>
    <row r="34" spans="1:16" ht="12.75" customHeight="1" thickBot="1">
      <c r="A34" s="11" t="str">
        <f t="shared" si="0"/>
        <v> AOLD 20.362 </v>
      </c>
      <c r="B34" s="16" t="str">
        <f t="shared" si="1"/>
        <v>I</v>
      </c>
      <c r="C34" s="11">
        <f t="shared" si="2"/>
        <v>30075.272</v>
      </c>
      <c r="D34" s="13" t="str">
        <f t="shared" si="3"/>
        <v>vis</v>
      </c>
      <c r="E34" s="48">
        <f>VLOOKUP(C34,A!C$21:E$973,3,FALSE)</f>
        <v>-80.04221866262617</v>
      </c>
      <c r="F34" s="16" t="s">
        <v>60</v>
      </c>
      <c r="G34" s="13" t="str">
        <f t="shared" si="4"/>
        <v>30075.272</v>
      </c>
      <c r="H34" s="11">
        <f t="shared" si="5"/>
        <v>-80</v>
      </c>
      <c r="I34" s="49" t="s">
        <v>120</v>
      </c>
      <c r="J34" s="50" t="s">
        <v>121</v>
      </c>
      <c r="K34" s="49">
        <v>-80</v>
      </c>
      <c r="L34" s="49" t="s">
        <v>122</v>
      </c>
      <c r="M34" s="50" t="s">
        <v>65</v>
      </c>
      <c r="N34" s="50"/>
      <c r="O34" s="51" t="s">
        <v>89</v>
      </c>
      <c r="P34" s="51" t="s">
        <v>90</v>
      </c>
    </row>
    <row r="35" spans="1:16" ht="12.75" customHeight="1" thickBot="1">
      <c r="A35" s="11" t="str">
        <f t="shared" si="0"/>
        <v> AOLD 20.362 </v>
      </c>
      <c r="B35" s="16" t="str">
        <f t="shared" si="1"/>
        <v>II</v>
      </c>
      <c r="C35" s="11">
        <f t="shared" si="2"/>
        <v>30076.343</v>
      </c>
      <c r="D35" s="13" t="str">
        <f t="shared" si="3"/>
        <v>vis</v>
      </c>
      <c r="E35" s="48">
        <f>VLOOKUP(C35,A!C$21:E$973,3,FALSE)</f>
        <v>-78.48200680945648</v>
      </c>
      <c r="F35" s="16" t="s">
        <v>60</v>
      </c>
      <c r="G35" s="13" t="str">
        <f t="shared" si="4"/>
        <v>30076.343</v>
      </c>
      <c r="H35" s="11">
        <f t="shared" si="5"/>
        <v>-78.5</v>
      </c>
      <c r="I35" s="49" t="s">
        <v>123</v>
      </c>
      <c r="J35" s="50" t="s">
        <v>124</v>
      </c>
      <c r="K35" s="49">
        <v>-78.5</v>
      </c>
      <c r="L35" s="49" t="s">
        <v>93</v>
      </c>
      <c r="M35" s="50" t="s">
        <v>65</v>
      </c>
      <c r="N35" s="50"/>
      <c r="O35" s="51" t="s">
        <v>89</v>
      </c>
      <c r="P35" s="51" t="s">
        <v>90</v>
      </c>
    </row>
    <row r="36" spans="1:16" ht="12.75" customHeight="1" thickBot="1">
      <c r="A36" s="11" t="str">
        <f t="shared" si="0"/>
        <v> AOLD 20.362 </v>
      </c>
      <c r="B36" s="16" t="str">
        <f t="shared" si="1"/>
        <v>I</v>
      </c>
      <c r="C36" s="11">
        <f t="shared" si="2"/>
        <v>30088.328</v>
      </c>
      <c r="D36" s="13" t="str">
        <f t="shared" si="3"/>
        <v>vis</v>
      </c>
      <c r="E36" s="48">
        <f>VLOOKUP(C36,A!C$21:E$973,3,FALSE)</f>
        <v>-61.02249321446006</v>
      </c>
      <c r="F36" s="16" t="s">
        <v>60</v>
      </c>
      <c r="G36" s="13" t="str">
        <f t="shared" si="4"/>
        <v>30088.328</v>
      </c>
      <c r="H36" s="11">
        <f t="shared" si="5"/>
        <v>-61</v>
      </c>
      <c r="I36" s="49" t="s">
        <v>125</v>
      </c>
      <c r="J36" s="50" t="s">
        <v>126</v>
      </c>
      <c r="K36" s="49">
        <v>-61</v>
      </c>
      <c r="L36" s="49" t="s">
        <v>111</v>
      </c>
      <c r="M36" s="50" t="s">
        <v>65</v>
      </c>
      <c r="N36" s="50"/>
      <c r="O36" s="51" t="s">
        <v>89</v>
      </c>
      <c r="P36" s="51" t="s">
        <v>90</v>
      </c>
    </row>
    <row r="37" spans="1:16" ht="12.75" customHeight="1" thickBot="1">
      <c r="A37" s="11" t="str">
        <f t="shared" si="0"/>
        <v> AOLD 20.362 </v>
      </c>
      <c r="B37" s="16" t="str">
        <f t="shared" si="1"/>
        <v>I</v>
      </c>
      <c r="C37" s="11">
        <f t="shared" si="2"/>
        <v>30344.378</v>
      </c>
      <c r="D37" s="13" t="str">
        <f t="shared" si="3"/>
        <v>vis</v>
      </c>
      <c r="E37" s="48">
        <f>VLOOKUP(C37,A!C$21:E$973,3,FALSE)</f>
        <v>311.9861389089112</v>
      </c>
      <c r="F37" s="16" t="s">
        <v>60</v>
      </c>
      <c r="G37" s="13" t="str">
        <f t="shared" si="4"/>
        <v>30344.378</v>
      </c>
      <c r="H37" s="11">
        <f t="shared" si="5"/>
        <v>312</v>
      </c>
      <c r="I37" s="49" t="s">
        <v>127</v>
      </c>
      <c r="J37" s="50" t="s">
        <v>128</v>
      </c>
      <c r="K37" s="49">
        <v>312</v>
      </c>
      <c r="L37" s="49" t="s">
        <v>129</v>
      </c>
      <c r="M37" s="50" t="s">
        <v>65</v>
      </c>
      <c r="N37" s="50"/>
      <c r="O37" s="51" t="s">
        <v>89</v>
      </c>
      <c r="P37" s="51" t="s">
        <v>90</v>
      </c>
    </row>
    <row r="38" spans="1:16" ht="12.75" customHeight="1" thickBot="1">
      <c r="A38" s="11" t="str">
        <f t="shared" si="0"/>
        <v> AOLD 20.362 </v>
      </c>
      <c r="B38" s="16" t="str">
        <f t="shared" si="1"/>
        <v>II</v>
      </c>
      <c r="C38" s="11">
        <f t="shared" si="2"/>
        <v>30468.267</v>
      </c>
      <c r="D38" s="13" t="str">
        <f t="shared" si="3"/>
        <v>vis</v>
      </c>
      <c r="E38" s="48">
        <f>VLOOKUP(C38,A!C$21:E$973,3,FALSE)</f>
        <v>492.4652110633036</v>
      </c>
      <c r="F38" s="16" t="s">
        <v>60</v>
      </c>
      <c r="G38" s="13" t="str">
        <f t="shared" si="4"/>
        <v>30468.267</v>
      </c>
      <c r="H38" s="11">
        <f t="shared" si="5"/>
        <v>492.5</v>
      </c>
      <c r="I38" s="49" t="s">
        <v>130</v>
      </c>
      <c r="J38" s="50" t="s">
        <v>131</v>
      </c>
      <c r="K38" s="49">
        <v>492.5</v>
      </c>
      <c r="L38" s="49" t="s">
        <v>132</v>
      </c>
      <c r="M38" s="50" t="s">
        <v>65</v>
      </c>
      <c r="N38" s="50"/>
      <c r="O38" s="51" t="s">
        <v>89</v>
      </c>
      <c r="P38" s="51" t="s">
        <v>90</v>
      </c>
    </row>
    <row r="39" spans="1:16" ht="12.75" customHeight="1" thickBot="1">
      <c r="A39" s="11" t="str">
        <f t="shared" si="0"/>
        <v> AOLD 20.362 </v>
      </c>
      <c r="B39" s="16" t="str">
        <f t="shared" si="1"/>
        <v>I</v>
      </c>
      <c r="C39" s="11">
        <f t="shared" si="2"/>
        <v>30500.214</v>
      </c>
      <c r="D39" s="13" t="str">
        <f t="shared" si="3"/>
        <v>vis</v>
      </c>
      <c r="E39" s="48">
        <f>VLOOKUP(C39,A!C$21:E$973,3,FALSE)</f>
        <v>539.0049758375486</v>
      </c>
      <c r="F39" s="16" t="s">
        <v>60</v>
      </c>
      <c r="G39" s="13" t="str">
        <f t="shared" si="4"/>
        <v>30500.214</v>
      </c>
      <c r="H39" s="11">
        <f t="shared" si="5"/>
        <v>539</v>
      </c>
      <c r="I39" s="49" t="s">
        <v>133</v>
      </c>
      <c r="J39" s="50" t="s">
        <v>134</v>
      </c>
      <c r="K39" s="49">
        <v>539</v>
      </c>
      <c r="L39" s="49" t="s">
        <v>119</v>
      </c>
      <c r="M39" s="50" t="s">
        <v>65</v>
      </c>
      <c r="N39" s="50"/>
      <c r="O39" s="51" t="s">
        <v>89</v>
      </c>
      <c r="P39" s="51" t="s">
        <v>90</v>
      </c>
    </row>
    <row r="40" spans="1:16" ht="12.75" customHeight="1" thickBot="1">
      <c r="A40" s="11" t="str">
        <f t="shared" si="0"/>
        <v> AOLD 20.362 </v>
      </c>
      <c r="B40" s="16" t="str">
        <f t="shared" si="1"/>
        <v>I</v>
      </c>
      <c r="C40" s="11">
        <f t="shared" si="2"/>
        <v>30668.412</v>
      </c>
      <c r="D40" s="13" t="str">
        <f t="shared" si="3"/>
        <v>vis</v>
      </c>
      <c r="E40" s="48">
        <f>VLOOKUP(C40,A!C$21:E$973,3,FALSE)</f>
        <v>784.0325325877423</v>
      </c>
      <c r="F40" s="16" t="s">
        <v>60</v>
      </c>
      <c r="G40" s="13" t="str">
        <f t="shared" si="4"/>
        <v>30668.412</v>
      </c>
      <c r="H40" s="11">
        <f t="shared" si="5"/>
        <v>784</v>
      </c>
      <c r="I40" s="49" t="s">
        <v>135</v>
      </c>
      <c r="J40" s="50" t="s">
        <v>136</v>
      </c>
      <c r="K40" s="49">
        <v>784</v>
      </c>
      <c r="L40" s="49" t="s">
        <v>137</v>
      </c>
      <c r="M40" s="50" t="s">
        <v>65</v>
      </c>
      <c r="N40" s="50"/>
      <c r="O40" s="51" t="s">
        <v>89</v>
      </c>
      <c r="P40" s="51" t="s">
        <v>90</v>
      </c>
    </row>
    <row r="41" spans="1:16" ht="12.75" customHeight="1" thickBot="1">
      <c r="A41" s="11" t="str">
        <f t="shared" si="0"/>
        <v> AOLD 20.362 </v>
      </c>
      <c r="B41" s="16" t="str">
        <f t="shared" si="1"/>
        <v>I</v>
      </c>
      <c r="C41" s="11">
        <f t="shared" si="2"/>
        <v>30703.446</v>
      </c>
      <c r="D41" s="13" t="str">
        <f t="shared" si="3"/>
        <v>vis</v>
      </c>
      <c r="E41" s="48">
        <f>VLOOKUP(C41,A!C$21:E$973,3,FALSE)</f>
        <v>835.069378585829</v>
      </c>
      <c r="F41" s="16" t="s">
        <v>60</v>
      </c>
      <c r="G41" s="13" t="str">
        <f t="shared" si="4"/>
        <v>30703.446</v>
      </c>
      <c r="H41" s="11">
        <f t="shared" si="5"/>
        <v>835</v>
      </c>
      <c r="I41" s="49" t="s">
        <v>138</v>
      </c>
      <c r="J41" s="50" t="s">
        <v>139</v>
      </c>
      <c r="K41" s="49">
        <v>835</v>
      </c>
      <c r="L41" s="49" t="s">
        <v>140</v>
      </c>
      <c r="M41" s="50" t="s">
        <v>65</v>
      </c>
      <c r="N41" s="50"/>
      <c r="O41" s="51" t="s">
        <v>89</v>
      </c>
      <c r="P41" s="51" t="s">
        <v>90</v>
      </c>
    </row>
    <row r="42" spans="1:16" ht="12.75" customHeight="1" thickBot="1">
      <c r="A42" s="11" t="str">
        <f t="shared" si="0"/>
        <v> AOLD 20.362 </v>
      </c>
      <c r="B42" s="16" t="str">
        <f t="shared" si="1"/>
        <v>I</v>
      </c>
      <c r="C42" s="11">
        <f t="shared" si="2"/>
        <v>30723.339</v>
      </c>
      <c r="D42" s="13" t="str">
        <f t="shared" si="3"/>
        <v>vis</v>
      </c>
      <c r="E42" s="48">
        <f>VLOOKUP(C42,A!C$21:E$973,3,FALSE)</f>
        <v>864.0491119145938</v>
      </c>
      <c r="F42" s="16" t="s">
        <v>60</v>
      </c>
      <c r="G42" s="13" t="str">
        <f t="shared" si="4"/>
        <v>30723.339</v>
      </c>
      <c r="H42" s="11">
        <f t="shared" si="5"/>
        <v>864</v>
      </c>
      <c r="I42" s="49" t="s">
        <v>141</v>
      </c>
      <c r="J42" s="50" t="s">
        <v>142</v>
      </c>
      <c r="K42" s="49">
        <v>864</v>
      </c>
      <c r="L42" s="49" t="s">
        <v>143</v>
      </c>
      <c r="M42" s="50" t="s">
        <v>65</v>
      </c>
      <c r="N42" s="50"/>
      <c r="O42" s="51" t="s">
        <v>89</v>
      </c>
      <c r="P42" s="51" t="s">
        <v>90</v>
      </c>
    </row>
    <row r="43" spans="1:16" ht="12.75" customHeight="1" thickBot="1">
      <c r="A43" s="11" t="str">
        <f aca="true" t="shared" si="6" ref="A43:A77">P43</f>
        <v> AOLD 20.362 </v>
      </c>
      <c r="B43" s="16" t="str">
        <f aca="true" t="shared" si="7" ref="B43:B77">IF(H43=INT(H43),"I","II")</f>
        <v>I</v>
      </c>
      <c r="C43" s="11">
        <f aca="true" t="shared" si="8" ref="C43:C77">1*G43</f>
        <v>30758.281</v>
      </c>
      <c r="D43" s="13" t="str">
        <f aca="true" t="shared" si="9" ref="D43:D77">VLOOKUP(F43,I$1:J$5,2,FALSE)</f>
        <v>vis</v>
      </c>
      <c r="E43" s="48">
        <f>VLOOKUP(C43,A!C$21:E$973,3,FALSE)</f>
        <v>914.951934112034</v>
      </c>
      <c r="F43" s="16" t="s">
        <v>60</v>
      </c>
      <c r="G43" s="13" t="str">
        <f aca="true" t="shared" si="10" ref="G43:G77">MID(I43,3,LEN(I43)-3)</f>
        <v>30758.281</v>
      </c>
      <c r="H43" s="11">
        <f aca="true" t="shared" si="11" ref="H43:H77">1*K43</f>
        <v>915</v>
      </c>
      <c r="I43" s="49" t="s">
        <v>144</v>
      </c>
      <c r="J43" s="50" t="s">
        <v>145</v>
      </c>
      <c r="K43" s="49">
        <v>915</v>
      </c>
      <c r="L43" s="49" t="s">
        <v>146</v>
      </c>
      <c r="M43" s="50" t="s">
        <v>65</v>
      </c>
      <c r="N43" s="50"/>
      <c r="O43" s="51" t="s">
        <v>89</v>
      </c>
      <c r="P43" s="51" t="s">
        <v>90</v>
      </c>
    </row>
    <row r="44" spans="1:16" ht="12.75" customHeight="1" thickBot="1">
      <c r="A44" s="11" t="str">
        <f t="shared" si="6"/>
        <v> AOLD 20.362 </v>
      </c>
      <c r="B44" s="16" t="str">
        <f t="shared" si="7"/>
        <v>I</v>
      </c>
      <c r="C44" s="11">
        <f t="shared" si="8"/>
        <v>30762.414</v>
      </c>
      <c r="D44" s="13" t="str">
        <f t="shared" si="9"/>
        <v>vis</v>
      </c>
      <c r="E44" s="48">
        <f>VLOOKUP(C44,A!C$21:E$973,3,FALSE)</f>
        <v>920.9728076780035</v>
      </c>
      <c r="F44" s="16" t="s">
        <v>60</v>
      </c>
      <c r="G44" s="13" t="str">
        <f t="shared" si="10"/>
        <v>30762.414</v>
      </c>
      <c r="H44" s="11">
        <f t="shared" si="11"/>
        <v>921</v>
      </c>
      <c r="I44" s="49" t="s">
        <v>147</v>
      </c>
      <c r="J44" s="50" t="s">
        <v>148</v>
      </c>
      <c r="K44" s="49">
        <v>921</v>
      </c>
      <c r="L44" s="49" t="s">
        <v>149</v>
      </c>
      <c r="M44" s="50" t="s">
        <v>65</v>
      </c>
      <c r="N44" s="50"/>
      <c r="O44" s="51" t="s">
        <v>89</v>
      </c>
      <c r="P44" s="51" t="s">
        <v>90</v>
      </c>
    </row>
    <row r="45" spans="1:16" ht="12.75" customHeight="1" thickBot="1">
      <c r="A45" s="11" t="str">
        <f t="shared" si="6"/>
        <v> VSS 4.271 </v>
      </c>
      <c r="B45" s="16" t="str">
        <f t="shared" si="7"/>
        <v>I</v>
      </c>
      <c r="C45" s="11">
        <f t="shared" si="8"/>
        <v>30784.38</v>
      </c>
      <c r="D45" s="13" t="str">
        <f t="shared" si="9"/>
        <v>vis</v>
      </c>
      <c r="E45" s="48">
        <f>VLOOKUP(C45,A!C$21:E$973,3,FALSE)</f>
        <v>952.9724468626242</v>
      </c>
      <c r="F45" s="16" t="s">
        <v>60</v>
      </c>
      <c r="G45" s="13" t="str">
        <f t="shared" si="10"/>
        <v>30784.380</v>
      </c>
      <c r="H45" s="11">
        <f t="shared" si="11"/>
        <v>953</v>
      </c>
      <c r="I45" s="49" t="s">
        <v>150</v>
      </c>
      <c r="J45" s="50" t="s">
        <v>151</v>
      </c>
      <c r="K45" s="49">
        <v>953</v>
      </c>
      <c r="L45" s="49" t="s">
        <v>149</v>
      </c>
      <c r="M45" s="50" t="s">
        <v>65</v>
      </c>
      <c r="N45" s="50"/>
      <c r="O45" s="51" t="s">
        <v>66</v>
      </c>
      <c r="P45" s="51" t="s">
        <v>67</v>
      </c>
    </row>
    <row r="46" spans="1:16" ht="12.75" customHeight="1" thickBot="1">
      <c r="A46" s="11" t="str">
        <f t="shared" si="6"/>
        <v> AOLD 20.362 </v>
      </c>
      <c r="B46" s="16" t="str">
        <f t="shared" si="7"/>
        <v>I</v>
      </c>
      <c r="C46" s="11">
        <f t="shared" si="8"/>
        <v>30791.25</v>
      </c>
      <c r="D46" s="13" t="str">
        <f t="shared" si="9"/>
        <v>vis</v>
      </c>
      <c r="E46" s="48">
        <f>VLOOKUP(C46,A!C$21:E$973,3,FALSE)</f>
        <v>962.9805284978016</v>
      </c>
      <c r="F46" s="16" t="s">
        <v>60</v>
      </c>
      <c r="G46" s="13" t="str">
        <f t="shared" si="10"/>
        <v>30791.250</v>
      </c>
      <c r="H46" s="11">
        <f t="shared" si="11"/>
        <v>963</v>
      </c>
      <c r="I46" s="49" t="s">
        <v>152</v>
      </c>
      <c r="J46" s="50" t="s">
        <v>153</v>
      </c>
      <c r="K46" s="49">
        <v>963</v>
      </c>
      <c r="L46" s="49" t="s">
        <v>154</v>
      </c>
      <c r="M46" s="50" t="s">
        <v>65</v>
      </c>
      <c r="N46" s="50"/>
      <c r="O46" s="51" t="s">
        <v>89</v>
      </c>
      <c r="P46" s="51" t="s">
        <v>90</v>
      </c>
    </row>
    <row r="47" spans="1:16" ht="12.75" customHeight="1" thickBot="1">
      <c r="A47" s="11" t="str">
        <f t="shared" si="6"/>
        <v> AOLD 20.362 </v>
      </c>
      <c r="B47" s="16" t="str">
        <f t="shared" si="7"/>
        <v>I</v>
      </c>
      <c r="C47" s="11">
        <f t="shared" si="8"/>
        <v>30793.364</v>
      </c>
      <c r="D47" s="13" t="str">
        <f t="shared" si="9"/>
        <v>vis</v>
      </c>
      <c r="E47" s="48">
        <f>VLOOKUP(C47,A!C$21:E$973,3,FALSE)</f>
        <v>966.0601623517729</v>
      </c>
      <c r="F47" s="16" t="s">
        <v>60</v>
      </c>
      <c r="G47" s="13" t="str">
        <f t="shared" si="10"/>
        <v>30793.364</v>
      </c>
      <c r="H47" s="11">
        <f t="shared" si="11"/>
        <v>966</v>
      </c>
      <c r="I47" s="49" t="s">
        <v>155</v>
      </c>
      <c r="J47" s="50" t="s">
        <v>156</v>
      </c>
      <c r="K47" s="49">
        <v>966</v>
      </c>
      <c r="L47" s="49" t="s">
        <v>157</v>
      </c>
      <c r="M47" s="50" t="s">
        <v>65</v>
      </c>
      <c r="N47" s="50"/>
      <c r="O47" s="51" t="s">
        <v>89</v>
      </c>
      <c r="P47" s="51" t="s">
        <v>90</v>
      </c>
    </row>
    <row r="48" spans="1:16" ht="12.75" customHeight="1" thickBot="1">
      <c r="A48" s="11" t="str">
        <f t="shared" si="6"/>
        <v> VSS 4.271 </v>
      </c>
      <c r="B48" s="16" t="str">
        <f t="shared" si="7"/>
        <v>I</v>
      </c>
      <c r="C48" s="11">
        <f t="shared" si="8"/>
        <v>30793.374</v>
      </c>
      <c r="D48" s="13" t="str">
        <f t="shared" si="9"/>
        <v>vis</v>
      </c>
      <c r="E48" s="48">
        <f>VLOOKUP(C48,A!C$21:E$973,3,FALSE)</f>
        <v>966.0747301561886</v>
      </c>
      <c r="F48" s="16" t="s">
        <v>60</v>
      </c>
      <c r="G48" s="13" t="str">
        <f t="shared" si="10"/>
        <v>30793.374</v>
      </c>
      <c r="H48" s="11">
        <f t="shared" si="11"/>
        <v>966</v>
      </c>
      <c r="I48" s="49" t="s">
        <v>158</v>
      </c>
      <c r="J48" s="50" t="s">
        <v>159</v>
      </c>
      <c r="K48" s="49">
        <v>966</v>
      </c>
      <c r="L48" s="49" t="s">
        <v>160</v>
      </c>
      <c r="M48" s="50" t="s">
        <v>65</v>
      </c>
      <c r="N48" s="50"/>
      <c r="O48" s="51" t="s">
        <v>66</v>
      </c>
      <c r="P48" s="51" t="s">
        <v>67</v>
      </c>
    </row>
    <row r="49" spans="1:16" ht="12.75" customHeight="1" thickBot="1">
      <c r="A49" s="11" t="str">
        <f t="shared" si="6"/>
        <v> AOLD 20.362 </v>
      </c>
      <c r="B49" s="16" t="str">
        <f t="shared" si="7"/>
        <v>I</v>
      </c>
      <c r="C49" s="11">
        <f t="shared" si="8"/>
        <v>30850.25</v>
      </c>
      <c r="D49" s="13" t="str">
        <f t="shared" si="9"/>
        <v>vis</v>
      </c>
      <c r="E49" s="48">
        <f>VLOOKUP(C49,A!C$21:E$973,3,FALSE)</f>
        <v>1048.9305745641127</v>
      </c>
      <c r="F49" s="16" t="s">
        <v>60</v>
      </c>
      <c r="G49" s="13" t="str">
        <f t="shared" si="10"/>
        <v>30850.250</v>
      </c>
      <c r="H49" s="11">
        <f t="shared" si="11"/>
        <v>1049</v>
      </c>
      <c r="I49" s="49" t="s">
        <v>161</v>
      </c>
      <c r="J49" s="50" t="s">
        <v>162</v>
      </c>
      <c r="K49" s="49">
        <v>1049</v>
      </c>
      <c r="L49" s="49" t="s">
        <v>163</v>
      </c>
      <c r="M49" s="50" t="s">
        <v>65</v>
      </c>
      <c r="N49" s="50"/>
      <c r="O49" s="51" t="s">
        <v>89</v>
      </c>
      <c r="P49" s="51" t="s">
        <v>90</v>
      </c>
    </row>
    <row r="50" spans="1:16" ht="12.75" customHeight="1" thickBot="1">
      <c r="A50" s="11" t="str">
        <f t="shared" si="6"/>
        <v> AHSB 7.8.426 </v>
      </c>
      <c r="B50" s="16" t="str">
        <f t="shared" si="7"/>
        <v>I</v>
      </c>
      <c r="C50" s="11">
        <f t="shared" si="8"/>
        <v>31852.525</v>
      </c>
      <c r="D50" s="13" t="str">
        <f t="shared" si="9"/>
        <v>vis</v>
      </c>
      <c r="E50" s="48">
        <f>VLOOKUP(C50,A!C$21:E$973,3,FALSE)</f>
        <v>2509.025191871098</v>
      </c>
      <c r="F50" s="16" t="s">
        <v>60</v>
      </c>
      <c r="G50" s="13" t="str">
        <f t="shared" si="10"/>
        <v>31852.525</v>
      </c>
      <c r="H50" s="11">
        <f t="shared" si="11"/>
        <v>2509</v>
      </c>
      <c r="I50" s="49" t="s">
        <v>164</v>
      </c>
      <c r="J50" s="50" t="s">
        <v>165</v>
      </c>
      <c r="K50" s="49">
        <v>2509</v>
      </c>
      <c r="L50" s="49" t="s">
        <v>166</v>
      </c>
      <c r="M50" s="50" t="s">
        <v>65</v>
      </c>
      <c r="N50" s="50"/>
      <c r="O50" s="51" t="s">
        <v>167</v>
      </c>
      <c r="P50" s="51" t="s">
        <v>168</v>
      </c>
    </row>
    <row r="51" spans="1:16" ht="12.75" customHeight="1" thickBot="1">
      <c r="A51" s="11" t="str">
        <f t="shared" si="6"/>
        <v> AHSB 7.8.426 </v>
      </c>
      <c r="B51" s="16" t="str">
        <f t="shared" si="7"/>
        <v>I</v>
      </c>
      <c r="C51" s="11">
        <f t="shared" si="8"/>
        <v>32231.445</v>
      </c>
      <c r="D51" s="13" t="str">
        <f t="shared" si="9"/>
        <v>vis</v>
      </c>
      <c r="E51" s="48">
        <f>VLOOKUP(C51,A!C$21:E$973,3,FALSE)</f>
        <v>3061.028436878665</v>
      </c>
      <c r="F51" s="16" t="s">
        <v>60</v>
      </c>
      <c r="G51" s="13" t="str">
        <f t="shared" si="10"/>
        <v>32231.445</v>
      </c>
      <c r="H51" s="11">
        <f t="shared" si="11"/>
        <v>3061</v>
      </c>
      <c r="I51" s="49" t="s">
        <v>169</v>
      </c>
      <c r="J51" s="50" t="s">
        <v>170</v>
      </c>
      <c r="K51" s="49">
        <v>3061</v>
      </c>
      <c r="L51" s="49" t="s">
        <v>171</v>
      </c>
      <c r="M51" s="50" t="s">
        <v>65</v>
      </c>
      <c r="N51" s="50"/>
      <c r="O51" s="51" t="s">
        <v>167</v>
      </c>
      <c r="P51" s="51" t="s">
        <v>168</v>
      </c>
    </row>
    <row r="52" spans="1:16" ht="12.75" customHeight="1" thickBot="1">
      <c r="A52" s="11" t="str">
        <f t="shared" si="6"/>
        <v> AHSB 7.8.426 </v>
      </c>
      <c r="B52" s="16" t="str">
        <f t="shared" si="7"/>
        <v>I</v>
      </c>
      <c r="C52" s="11">
        <f t="shared" si="8"/>
        <v>32233.468</v>
      </c>
      <c r="D52" s="13" t="str">
        <f t="shared" si="9"/>
        <v>vis</v>
      </c>
      <c r="E52" s="48">
        <f>VLOOKUP(C52,A!C$21:E$973,3,FALSE)</f>
        <v>3063.975503712432</v>
      </c>
      <c r="F52" s="16" t="s">
        <v>60</v>
      </c>
      <c r="G52" s="13" t="str">
        <f t="shared" si="10"/>
        <v>32233.468</v>
      </c>
      <c r="H52" s="11">
        <f t="shared" si="11"/>
        <v>3064</v>
      </c>
      <c r="I52" s="49" t="s">
        <v>172</v>
      </c>
      <c r="J52" s="50" t="s">
        <v>173</v>
      </c>
      <c r="K52" s="49">
        <v>3064</v>
      </c>
      <c r="L52" s="49" t="s">
        <v>174</v>
      </c>
      <c r="M52" s="50" t="s">
        <v>65</v>
      </c>
      <c r="N52" s="50"/>
      <c r="O52" s="51" t="s">
        <v>167</v>
      </c>
      <c r="P52" s="51" t="s">
        <v>168</v>
      </c>
    </row>
    <row r="53" spans="1:16" ht="12.75" customHeight="1" thickBot="1">
      <c r="A53" s="11" t="str">
        <f t="shared" si="6"/>
        <v> AHSB 7.8.426 </v>
      </c>
      <c r="B53" s="16" t="str">
        <f t="shared" si="7"/>
        <v>I</v>
      </c>
      <c r="C53" s="11">
        <f t="shared" si="8"/>
        <v>32938.455</v>
      </c>
      <c r="D53" s="13" t="str">
        <f t="shared" si="9"/>
        <v>vis</v>
      </c>
      <c r="E53" s="48">
        <f>VLOOKUP(C53,A!C$21:E$973,3,FALSE)</f>
        <v>4090.986777037018</v>
      </c>
      <c r="F53" s="16" t="s">
        <v>60</v>
      </c>
      <c r="G53" s="13" t="str">
        <f t="shared" si="10"/>
        <v>32938.455</v>
      </c>
      <c r="H53" s="11">
        <f t="shared" si="11"/>
        <v>4091</v>
      </c>
      <c r="I53" s="49" t="s">
        <v>175</v>
      </c>
      <c r="J53" s="50" t="s">
        <v>176</v>
      </c>
      <c r="K53" s="49">
        <v>4091</v>
      </c>
      <c r="L53" s="49" t="s">
        <v>99</v>
      </c>
      <c r="M53" s="50" t="s">
        <v>65</v>
      </c>
      <c r="N53" s="50"/>
      <c r="O53" s="51" t="s">
        <v>167</v>
      </c>
      <c r="P53" s="51" t="s">
        <v>168</v>
      </c>
    </row>
    <row r="54" spans="1:16" ht="12.75" customHeight="1" thickBot="1">
      <c r="A54" s="11" t="str">
        <f t="shared" si="6"/>
        <v> AHSB 7.8.426 </v>
      </c>
      <c r="B54" s="16" t="str">
        <f t="shared" si="7"/>
        <v>I</v>
      </c>
      <c r="C54" s="11">
        <f t="shared" si="8"/>
        <v>33330.44</v>
      </c>
      <c r="D54" s="13" t="str">
        <f t="shared" si="9"/>
        <v>vis</v>
      </c>
      <c r="E54" s="48">
        <f>VLOOKUP(C54,A!C$21:E$973,3,FALSE)</f>
        <v>4662.02285851673</v>
      </c>
      <c r="F54" s="16" t="s">
        <v>60</v>
      </c>
      <c r="G54" s="13" t="str">
        <f t="shared" si="10"/>
        <v>33330.440</v>
      </c>
      <c r="H54" s="11">
        <f t="shared" si="11"/>
        <v>4662</v>
      </c>
      <c r="I54" s="49" t="s">
        <v>177</v>
      </c>
      <c r="J54" s="50" t="s">
        <v>178</v>
      </c>
      <c r="K54" s="49">
        <v>4662</v>
      </c>
      <c r="L54" s="49" t="s">
        <v>179</v>
      </c>
      <c r="M54" s="50" t="s">
        <v>65</v>
      </c>
      <c r="N54" s="50"/>
      <c r="O54" s="51" t="s">
        <v>167</v>
      </c>
      <c r="P54" s="51" t="s">
        <v>168</v>
      </c>
    </row>
    <row r="55" spans="1:16" ht="12.75" customHeight="1" thickBot="1">
      <c r="A55" s="11" t="str">
        <f t="shared" si="6"/>
        <v> AHSB 7.8.426 </v>
      </c>
      <c r="B55" s="16" t="str">
        <f t="shared" si="7"/>
        <v>I</v>
      </c>
      <c r="C55" s="11">
        <f t="shared" si="8"/>
        <v>34451.375</v>
      </c>
      <c r="D55" s="13" t="str">
        <f t="shared" si="9"/>
        <v>vis</v>
      </c>
      <c r="E55" s="48">
        <f>VLOOKUP(C55,A!C$21:E$973,3,FALSE)</f>
        <v>6294.979043047922</v>
      </c>
      <c r="F55" s="16" t="s">
        <v>60</v>
      </c>
      <c r="G55" s="13" t="str">
        <f t="shared" si="10"/>
        <v>34451.375</v>
      </c>
      <c r="H55" s="11">
        <f t="shared" si="11"/>
        <v>6295</v>
      </c>
      <c r="I55" s="49" t="s">
        <v>180</v>
      </c>
      <c r="J55" s="50" t="s">
        <v>181</v>
      </c>
      <c r="K55" s="49">
        <v>6295</v>
      </c>
      <c r="L55" s="49" t="s">
        <v>182</v>
      </c>
      <c r="M55" s="50" t="s">
        <v>65</v>
      </c>
      <c r="N55" s="50"/>
      <c r="O55" s="51" t="s">
        <v>167</v>
      </c>
      <c r="P55" s="51" t="s">
        <v>168</v>
      </c>
    </row>
    <row r="56" spans="1:16" ht="12.75" customHeight="1" thickBot="1">
      <c r="A56" s="11" t="str">
        <f t="shared" si="6"/>
        <v> AHSB 7.8.426 </v>
      </c>
      <c r="B56" s="16" t="str">
        <f t="shared" si="7"/>
        <v>II</v>
      </c>
      <c r="C56" s="11">
        <f t="shared" si="8"/>
        <v>34785.295</v>
      </c>
      <c r="D56" s="13" t="str">
        <f t="shared" si="9"/>
        <v>vis</v>
      </c>
      <c r="E56" s="48">
        <f>VLOOKUP(C56,A!C$21:E$973,3,FALSE)</f>
        <v>6781.427168174404</v>
      </c>
      <c r="F56" s="16" t="s">
        <v>60</v>
      </c>
      <c r="G56" s="13" t="str">
        <f t="shared" si="10"/>
        <v>34785.295</v>
      </c>
      <c r="H56" s="11">
        <f t="shared" si="11"/>
        <v>6781.5</v>
      </c>
      <c r="I56" s="49" t="s">
        <v>183</v>
      </c>
      <c r="J56" s="50" t="s">
        <v>184</v>
      </c>
      <c r="K56" s="49">
        <v>6781.5</v>
      </c>
      <c r="L56" s="49" t="s">
        <v>185</v>
      </c>
      <c r="M56" s="50" t="s">
        <v>65</v>
      </c>
      <c r="N56" s="50"/>
      <c r="O56" s="51" t="s">
        <v>167</v>
      </c>
      <c r="P56" s="51" t="s">
        <v>168</v>
      </c>
    </row>
    <row r="57" spans="1:16" ht="12.75" customHeight="1" thickBot="1">
      <c r="A57" s="11" t="str">
        <f t="shared" si="6"/>
        <v> AHSB 7.8.426 </v>
      </c>
      <c r="B57" s="16" t="str">
        <f t="shared" si="7"/>
        <v>I</v>
      </c>
      <c r="C57" s="11">
        <f t="shared" si="8"/>
        <v>35160.49</v>
      </c>
      <c r="D57" s="13" t="str">
        <f t="shared" si="9"/>
        <v>vis</v>
      </c>
      <c r="E57" s="48">
        <f>VLOOKUP(C57,A!C$21:E$973,3,FALSE)</f>
        <v>7328.003906036261</v>
      </c>
      <c r="F57" s="16" t="s">
        <v>60</v>
      </c>
      <c r="G57" s="13" t="str">
        <f t="shared" si="10"/>
        <v>35160.490</v>
      </c>
      <c r="H57" s="11">
        <f t="shared" si="11"/>
        <v>7328</v>
      </c>
      <c r="I57" s="49" t="s">
        <v>186</v>
      </c>
      <c r="J57" s="50" t="s">
        <v>187</v>
      </c>
      <c r="K57" s="49">
        <v>7328</v>
      </c>
      <c r="L57" s="49" t="s">
        <v>119</v>
      </c>
      <c r="M57" s="50" t="s">
        <v>65</v>
      </c>
      <c r="N57" s="50"/>
      <c r="O57" s="51" t="s">
        <v>167</v>
      </c>
      <c r="P57" s="51" t="s">
        <v>168</v>
      </c>
    </row>
    <row r="58" spans="1:16" ht="12.75" customHeight="1" thickBot="1">
      <c r="A58" s="11" t="str">
        <f t="shared" si="6"/>
        <v> AHSB 7.8.426 </v>
      </c>
      <c r="B58" s="16" t="str">
        <f t="shared" si="7"/>
        <v>I</v>
      </c>
      <c r="C58" s="11">
        <f t="shared" si="8"/>
        <v>35165.29</v>
      </c>
      <c r="D58" s="13" t="str">
        <f t="shared" si="9"/>
        <v>vis</v>
      </c>
      <c r="E58" s="48">
        <f>VLOOKUP(C58,A!C$21:E$973,3,FALSE)</f>
        <v>7334.9964521569145</v>
      </c>
      <c r="F58" s="16" t="s">
        <v>60</v>
      </c>
      <c r="G58" s="13" t="str">
        <f t="shared" si="10"/>
        <v>35165.290</v>
      </c>
      <c r="H58" s="11">
        <f t="shared" si="11"/>
        <v>7335</v>
      </c>
      <c r="I58" s="49" t="s">
        <v>188</v>
      </c>
      <c r="J58" s="50" t="s">
        <v>189</v>
      </c>
      <c r="K58" s="49">
        <v>7335</v>
      </c>
      <c r="L58" s="49" t="s">
        <v>79</v>
      </c>
      <c r="M58" s="50" t="s">
        <v>65</v>
      </c>
      <c r="N58" s="50"/>
      <c r="O58" s="51" t="s">
        <v>167</v>
      </c>
      <c r="P58" s="51" t="s">
        <v>168</v>
      </c>
    </row>
    <row r="59" spans="1:16" ht="12.75" customHeight="1" thickBot="1">
      <c r="A59" s="11" t="str">
        <f t="shared" si="6"/>
        <v> AHSB 7.8.426 </v>
      </c>
      <c r="B59" s="16" t="str">
        <f t="shared" si="7"/>
        <v>I</v>
      </c>
      <c r="C59" s="11">
        <f t="shared" si="8"/>
        <v>35453.6</v>
      </c>
      <c r="D59" s="13" t="str">
        <f t="shared" si="9"/>
        <v>vis</v>
      </c>
      <c r="E59" s="48">
        <f>VLOOKUP(C59,A!C$21:E$973,3,FALSE)</f>
        <v>7755.000821332812</v>
      </c>
      <c r="F59" s="16" t="s">
        <v>60</v>
      </c>
      <c r="G59" s="13" t="str">
        <f t="shared" si="10"/>
        <v>35453.600</v>
      </c>
      <c r="H59" s="11">
        <f t="shared" si="11"/>
        <v>7755</v>
      </c>
      <c r="I59" s="49" t="s">
        <v>190</v>
      </c>
      <c r="J59" s="50" t="s">
        <v>191</v>
      </c>
      <c r="K59" s="49">
        <v>7755</v>
      </c>
      <c r="L59" s="49" t="s">
        <v>192</v>
      </c>
      <c r="M59" s="50" t="s">
        <v>65</v>
      </c>
      <c r="N59" s="50"/>
      <c r="O59" s="51" t="s">
        <v>167</v>
      </c>
      <c r="P59" s="51" t="s">
        <v>168</v>
      </c>
    </row>
    <row r="60" spans="1:16" ht="12.75" customHeight="1" thickBot="1">
      <c r="A60" s="11" t="str">
        <f t="shared" si="6"/>
        <v> AHSB 7.8.426 </v>
      </c>
      <c r="B60" s="16" t="str">
        <f t="shared" si="7"/>
        <v>I</v>
      </c>
      <c r="C60" s="11">
        <f t="shared" si="8"/>
        <v>35486.525</v>
      </c>
      <c r="D60" s="13" t="str">
        <f t="shared" si="9"/>
        <v>vis</v>
      </c>
      <c r="E60" s="48">
        <f>VLOOKUP(C60,A!C$21:E$973,3,FALSE)</f>
        <v>7802.965317379143</v>
      </c>
      <c r="F60" s="16" t="s">
        <v>60</v>
      </c>
      <c r="G60" s="13" t="str">
        <f t="shared" si="10"/>
        <v>35486.525</v>
      </c>
      <c r="H60" s="11">
        <f t="shared" si="11"/>
        <v>7803</v>
      </c>
      <c r="I60" s="49" t="s">
        <v>193</v>
      </c>
      <c r="J60" s="50" t="s">
        <v>194</v>
      </c>
      <c r="K60" s="49">
        <v>7803</v>
      </c>
      <c r="L60" s="49" t="s">
        <v>132</v>
      </c>
      <c r="M60" s="50" t="s">
        <v>65</v>
      </c>
      <c r="N60" s="50"/>
      <c r="O60" s="51" t="s">
        <v>167</v>
      </c>
      <c r="P60" s="51" t="s">
        <v>168</v>
      </c>
    </row>
    <row r="61" spans="1:16" ht="12.75" customHeight="1" thickBot="1">
      <c r="A61" s="11" t="str">
        <f t="shared" si="6"/>
        <v> VSSC 67.10 </v>
      </c>
      <c r="B61" s="16" t="str">
        <f t="shared" si="7"/>
        <v>I</v>
      </c>
      <c r="C61" s="11">
        <f t="shared" si="8"/>
        <v>46441.456</v>
      </c>
      <c r="D61" s="13" t="str">
        <f t="shared" si="9"/>
        <v>vis</v>
      </c>
      <c r="E61" s="48">
        <f>VLOOKUP(C61,A!C$21:E$973,3,FALSE)</f>
        <v>23761.89453946829</v>
      </c>
      <c r="F61" s="16" t="s">
        <v>60</v>
      </c>
      <c r="G61" s="13" t="str">
        <f t="shared" si="10"/>
        <v>46441.456</v>
      </c>
      <c r="H61" s="11">
        <f t="shared" si="11"/>
        <v>23762</v>
      </c>
      <c r="I61" s="49" t="s">
        <v>195</v>
      </c>
      <c r="J61" s="50" t="s">
        <v>196</v>
      </c>
      <c r="K61" s="49">
        <v>23762</v>
      </c>
      <c r="L61" s="49" t="s">
        <v>197</v>
      </c>
      <c r="M61" s="50" t="s">
        <v>198</v>
      </c>
      <c r="N61" s="50"/>
      <c r="O61" s="51" t="s">
        <v>199</v>
      </c>
      <c r="P61" s="51" t="s">
        <v>200</v>
      </c>
    </row>
    <row r="62" spans="1:16" ht="12.75" customHeight="1" thickBot="1">
      <c r="A62" s="11" t="str">
        <f t="shared" si="6"/>
        <v> AOEB 6 </v>
      </c>
      <c r="B62" s="16" t="str">
        <f t="shared" si="7"/>
        <v>I</v>
      </c>
      <c r="C62" s="11">
        <f t="shared" si="8"/>
        <v>48682.681</v>
      </c>
      <c r="D62" s="13" t="str">
        <f t="shared" si="9"/>
        <v>vis</v>
      </c>
      <c r="E62" s="48">
        <f>VLOOKUP(C62,A!C$21:E$973,3,FALSE)</f>
        <v>27026.867285145716</v>
      </c>
      <c r="F62" s="16" t="s">
        <v>60</v>
      </c>
      <c r="G62" s="13" t="str">
        <f t="shared" si="10"/>
        <v>48682.681</v>
      </c>
      <c r="H62" s="11">
        <f t="shared" si="11"/>
        <v>27027</v>
      </c>
      <c r="I62" s="49" t="s">
        <v>201</v>
      </c>
      <c r="J62" s="50" t="s">
        <v>202</v>
      </c>
      <c r="K62" s="49">
        <v>27027</v>
      </c>
      <c r="L62" s="49" t="s">
        <v>203</v>
      </c>
      <c r="M62" s="50" t="s">
        <v>198</v>
      </c>
      <c r="N62" s="50"/>
      <c r="O62" s="51" t="s">
        <v>204</v>
      </c>
      <c r="P62" s="51" t="s">
        <v>205</v>
      </c>
    </row>
    <row r="63" spans="1:16" ht="12.75" customHeight="1" thickBot="1">
      <c r="A63" s="11" t="str">
        <f t="shared" si="6"/>
        <v> AOEB 6 </v>
      </c>
      <c r="B63" s="16" t="str">
        <f t="shared" si="7"/>
        <v>I</v>
      </c>
      <c r="C63" s="11">
        <f t="shared" si="8"/>
        <v>49013.558</v>
      </c>
      <c r="D63" s="13" t="str">
        <f t="shared" si="9"/>
        <v>vis</v>
      </c>
      <c r="E63" s="48">
        <f>VLOOKUP(C63,A!C$21:E$973,3,FALSE)</f>
        <v>27508.882427387798</v>
      </c>
      <c r="F63" s="16" t="s">
        <v>60</v>
      </c>
      <c r="G63" s="13" t="str">
        <f t="shared" si="10"/>
        <v>49013.558</v>
      </c>
      <c r="H63" s="11">
        <f t="shared" si="11"/>
        <v>27509</v>
      </c>
      <c r="I63" s="49" t="s">
        <v>206</v>
      </c>
      <c r="J63" s="50" t="s">
        <v>207</v>
      </c>
      <c r="K63" s="49">
        <v>27509</v>
      </c>
      <c r="L63" s="49" t="s">
        <v>208</v>
      </c>
      <c r="M63" s="50" t="s">
        <v>198</v>
      </c>
      <c r="N63" s="50"/>
      <c r="O63" s="51" t="s">
        <v>204</v>
      </c>
      <c r="P63" s="51" t="s">
        <v>205</v>
      </c>
    </row>
    <row r="64" spans="1:16" ht="12.75" customHeight="1" thickBot="1">
      <c r="A64" s="11" t="str">
        <f t="shared" si="6"/>
        <v> AOEB 6 </v>
      </c>
      <c r="B64" s="16" t="str">
        <f t="shared" si="7"/>
        <v>I</v>
      </c>
      <c r="C64" s="11">
        <f t="shared" si="8"/>
        <v>49037.582</v>
      </c>
      <c r="D64" s="13" t="str">
        <f t="shared" si="9"/>
        <v>vis</v>
      </c>
      <c r="E64" s="48">
        <f>VLOOKUP(C64,A!C$21:E$973,3,FALSE)</f>
        <v>27543.880120721653</v>
      </c>
      <c r="F64" s="16" t="s">
        <v>60</v>
      </c>
      <c r="G64" s="13" t="str">
        <f t="shared" si="10"/>
        <v>49037.582</v>
      </c>
      <c r="H64" s="11">
        <f t="shared" si="11"/>
        <v>27544</v>
      </c>
      <c r="I64" s="49" t="s">
        <v>209</v>
      </c>
      <c r="J64" s="50" t="s">
        <v>210</v>
      </c>
      <c r="K64" s="49">
        <v>27544</v>
      </c>
      <c r="L64" s="49" t="s">
        <v>211</v>
      </c>
      <c r="M64" s="50" t="s">
        <v>198</v>
      </c>
      <c r="N64" s="50"/>
      <c r="O64" s="51" t="s">
        <v>204</v>
      </c>
      <c r="P64" s="51" t="s">
        <v>205</v>
      </c>
    </row>
    <row r="65" spans="1:16" ht="12.75" customHeight="1" thickBot="1">
      <c r="A65" s="11" t="str">
        <f t="shared" si="6"/>
        <v> AOEB 6 </v>
      </c>
      <c r="B65" s="16" t="str">
        <f t="shared" si="7"/>
        <v>I</v>
      </c>
      <c r="C65" s="11">
        <f t="shared" si="8"/>
        <v>49455.61</v>
      </c>
      <c r="D65" s="13" t="str">
        <f t="shared" si="9"/>
        <v>vis</v>
      </c>
      <c r="E65" s="48">
        <f>VLOOKUP(C65,A!C$21:E$973,3,FALSE)</f>
        <v>28152.85513524721</v>
      </c>
      <c r="F65" s="16" t="s">
        <v>60</v>
      </c>
      <c r="G65" s="13" t="str">
        <f t="shared" si="10"/>
        <v>49455.610</v>
      </c>
      <c r="H65" s="11">
        <f t="shared" si="11"/>
        <v>28153</v>
      </c>
      <c r="I65" s="49" t="s">
        <v>212</v>
      </c>
      <c r="J65" s="50" t="s">
        <v>213</v>
      </c>
      <c r="K65" s="49">
        <v>28153</v>
      </c>
      <c r="L65" s="49" t="s">
        <v>214</v>
      </c>
      <c r="M65" s="50" t="s">
        <v>198</v>
      </c>
      <c r="N65" s="50"/>
      <c r="O65" s="51" t="s">
        <v>204</v>
      </c>
      <c r="P65" s="51" t="s">
        <v>205</v>
      </c>
    </row>
    <row r="66" spans="1:16" ht="12.75" customHeight="1" thickBot="1">
      <c r="A66" s="11" t="str">
        <f t="shared" si="6"/>
        <v> AOEB 6 </v>
      </c>
      <c r="B66" s="16" t="str">
        <f t="shared" si="7"/>
        <v>I</v>
      </c>
      <c r="C66" s="11">
        <f t="shared" si="8"/>
        <v>49744.624</v>
      </c>
      <c r="D66" s="13" t="str">
        <f t="shared" si="9"/>
        <v>vis</v>
      </c>
      <c r="E66" s="48">
        <f>VLOOKUP(C66,A!C$21:E$973,3,FALSE)</f>
        <v>28573.885077854142</v>
      </c>
      <c r="F66" s="16" t="s">
        <v>60</v>
      </c>
      <c r="G66" s="13" t="str">
        <f t="shared" si="10"/>
        <v>49744.624</v>
      </c>
      <c r="H66" s="11">
        <f t="shared" si="11"/>
        <v>28574</v>
      </c>
      <c r="I66" s="49" t="s">
        <v>215</v>
      </c>
      <c r="J66" s="50" t="s">
        <v>216</v>
      </c>
      <c r="K66" s="49">
        <v>28574</v>
      </c>
      <c r="L66" s="49" t="s">
        <v>217</v>
      </c>
      <c r="M66" s="50" t="s">
        <v>198</v>
      </c>
      <c r="N66" s="50"/>
      <c r="O66" s="51" t="s">
        <v>204</v>
      </c>
      <c r="P66" s="51" t="s">
        <v>205</v>
      </c>
    </row>
    <row r="67" spans="1:16" ht="12.75" customHeight="1" thickBot="1">
      <c r="A67" s="11" t="str">
        <f t="shared" si="6"/>
        <v> AOEB 6 </v>
      </c>
      <c r="B67" s="16" t="str">
        <f t="shared" si="7"/>
        <v>I</v>
      </c>
      <c r="C67" s="11">
        <f t="shared" si="8"/>
        <v>49755.6</v>
      </c>
      <c r="D67" s="13" t="str">
        <f t="shared" si="9"/>
        <v>vis</v>
      </c>
      <c r="E67" s="48">
        <f>VLOOKUP(C67,A!C$21:E$973,3,FALSE)</f>
        <v>28589.874699983353</v>
      </c>
      <c r="F67" s="16" t="s">
        <v>60</v>
      </c>
      <c r="G67" s="13" t="str">
        <f t="shared" si="10"/>
        <v>49755.600</v>
      </c>
      <c r="H67" s="11">
        <f t="shared" si="11"/>
        <v>28590</v>
      </c>
      <c r="I67" s="49" t="s">
        <v>218</v>
      </c>
      <c r="J67" s="50" t="s">
        <v>219</v>
      </c>
      <c r="K67" s="49">
        <v>28590</v>
      </c>
      <c r="L67" s="49" t="s">
        <v>220</v>
      </c>
      <c r="M67" s="50" t="s">
        <v>198</v>
      </c>
      <c r="N67" s="50"/>
      <c r="O67" s="51" t="s">
        <v>204</v>
      </c>
      <c r="P67" s="51" t="s">
        <v>205</v>
      </c>
    </row>
    <row r="68" spans="1:16" ht="12.75" customHeight="1" thickBot="1">
      <c r="A68" s="11" t="str">
        <f t="shared" si="6"/>
        <v> AOEB 6 </v>
      </c>
      <c r="B68" s="16" t="str">
        <f t="shared" si="7"/>
        <v>I</v>
      </c>
      <c r="C68" s="11">
        <f t="shared" si="8"/>
        <v>49766.578</v>
      </c>
      <c r="D68" s="13" t="str">
        <f t="shared" si="9"/>
        <v>vis</v>
      </c>
      <c r="E68" s="48">
        <f>VLOOKUP(C68,A!C$21:E$973,3,FALSE)</f>
        <v>28605.867235673457</v>
      </c>
      <c r="F68" s="16" t="s">
        <v>60</v>
      </c>
      <c r="G68" s="13" t="str">
        <f t="shared" si="10"/>
        <v>49766.578</v>
      </c>
      <c r="H68" s="11">
        <f t="shared" si="11"/>
        <v>28606</v>
      </c>
      <c r="I68" s="49" t="s">
        <v>221</v>
      </c>
      <c r="J68" s="50" t="s">
        <v>222</v>
      </c>
      <c r="K68" s="49">
        <v>28606</v>
      </c>
      <c r="L68" s="49" t="s">
        <v>203</v>
      </c>
      <c r="M68" s="50" t="s">
        <v>198</v>
      </c>
      <c r="N68" s="50"/>
      <c r="O68" s="51" t="s">
        <v>204</v>
      </c>
      <c r="P68" s="51" t="s">
        <v>205</v>
      </c>
    </row>
    <row r="69" spans="1:16" ht="12.75" customHeight="1" thickBot="1">
      <c r="A69" s="11" t="str">
        <f t="shared" si="6"/>
        <v> AOEB 6 </v>
      </c>
      <c r="B69" s="16" t="str">
        <f t="shared" si="7"/>
        <v>I</v>
      </c>
      <c r="C69" s="11">
        <f t="shared" si="8"/>
        <v>49768.639</v>
      </c>
      <c r="D69" s="13" t="str">
        <f t="shared" si="9"/>
        <v>vis</v>
      </c>
      <c r="E69" s="48">
        <f>VLOOKUP(C69,A!C$21:E$973,3,FALSE)</f>
        <v>28608.86966016401</v>
      </c>
      <c r="F69" s="16" t="s">
        <v>60</v>
      </c>
      <c r="G69" s="13" t="str">
        <f t="shared" si="10"/>
        <v>49768.639</v>
      </c>
      <c r="H69" s="11">
        <f t="shared" si="11"/>
        <v>28609</v>
      </c>
      <c r="I69" s="49" t="s">
        <v>223</v>
      </c>
      <c r="J69" s="50" t="s">
        <v>224</v>
      </c>
      <c r="K69" s="49">
        <v>28609</v>
      </c>
      <c r="L69" s="49" t="s">
        <v>225</v>
      </c>
      <c r="M69" s="50" t="s">
        <v>198</v>
      </c>
      <c r="N69" s="50"/>
      <c r="O69" s="51" t="s">
        <v>204</v>
      </c>
      <c r="P69" s="51" t="s">
        <v>205</v>
      </c>
    </row>
    <row r="70" spans="1:16" ht="12.75" customHeight="1" thickBot="1">
      <c r="A70" s="11" t="str">
        <f t="shared" si="6"/>
        <v> AOEB 6 </v>
      </c>
      <c r="B70" s="16" t="str">
        <f t="shared" si="7"/>
        <v>I</v>
      </c>
      <c r="C70" s="11">
        <f t="shared" si="8"/>
        <v>50107.744</v>
      </c>
      <c r="D70" s="13" t="str">
        <f t="shared" si="9"/>
        <v>vis</v>
      </c>
      <c r="E70" s="48">
        <f>VLOOKUP(C70,A!C$21:E$973,3,FALSE)</f>
        <v>29102.871191881233</v>
      </c>
      <c r="F70" s="16" t="s">
        <v>60</v>
      </c>
      <c r="G70" s="13" t="str">
        <f t="shared" si="10"/>
        <v>50107.744</v>
      </c>
      <c r="H70" s="11">
        <f t="shared" si="11"/>
        <v>29103</v>
      </c>
      <c r="I70" s="49" t="s">
        <v>226</v>
      </c>
      <c r="J70" s="50" t="s">
        <v>227</v>
      </c>
      <c r="K70" s="49">
        <v>29103</v>
      </c>
      <c r="L70" s="49" t="s">
        <v>228</v>
      </c>
      <c r="M70" s="50" t="s">
        <v>198</v>
      </c>
      <c r="N70" s="50"/>
      <c r="O70" s="51" t="s">
        <v>204</v>
      </c>
      <c r="P70" s="51" t="s">
        <v>205</v>
      </c>
    </row>
    <row r="71" spans="1:16" ht="12.75" customHeight="1" thickBot="1">
      <c r="A71" s="11" t="str">
        <f t="shared" si="6"/>
        <v> AOEB 6 </v>
      </c>
      <c r="B71" s="16" t="str">
        <f t="shared" si="7"/>
        <v>I</v>
      </c>
      <c r="C71" s="11">
        <f t="shared" si="8"/>
        <v>50519.597</v>
      </c>
      <c r="D71" s="13" t="str">
        <f t="shared" si="9"/>
        <v>vis</v>
      </c>
      <c r="E71" s="48">
        <f>VLOOKUP(C71,A!C$21:E$973,3,FALSE)</f>
        <v>29702.85058717867</v>
      </c>
      <c r="F71" s="16" t="s">
        <v>60</v>
      </c>
      <c r="G71" s="13" t="str">
        <f t="shared" si="10"/>
        <v>50519.597</v>
      </c>
      <c r="H71" s="11">
        <f t="shared" si="11"/>
        <v>29703</v>
      </c>
      <c r="I71" s="49" t="s">
        <v>229</v>
      </c>
      <c r="J71" s="50" t="s">
        <v>230</v>
      </c>
      <c r="K71" s="49">
        <v>29703</v>
      </c>
      <c r="L71" s="49" t="s">
        <v>231</v>
      </c>
      <c r="M71" s="50" t="s">
        <v>198</v>
      </c>
      <c r="N71" s="50"/>
      <c r="O71" s="51" t="s">
        <v>204</v>
      </c>
      <c r="P71" s="51" t="s">
        <v>205</v>
      </c>
    </row>
    <row r="72" spans="1:16" ht="12.75" customHeight="1" thickBot="1">
      <c r="A72" s="11" t="str">
        <f t="shared" si="6"/>
        <v> AOEB 6 </v>
      </c>
      <c r="B72" s="16" t="str">
        <f t="shared" si="7"/>
        <v>I</v>
      </c>
      <c r="C72" s="11">
        <f t="shared" si="8"/>
        <v>50845.658</v>
      </c>
      <c r="D72" s="13" t="str">
        <f t="shared" si="9"/>
        <v>vis</v>
      </c>
      <c r="E72" s="48">
        <f>VLOOKUP(C72,A!C$21:E$973,3,FALSE)</f>
        <v>30177.849874813037</v>
      </c>
      <c r="F72" s="16" t="s">
        <v>60</v>
      </c>
      <c r="G72" s="13" t="str">
        <f t="shared" si="10"/>
        <v>50845.658</v>
      </c>
      <c r="H72" s="11">
        <f t="shared" si="11"/>
        <v>30178</v>
      </c>
      <c r="I72" s="49" t="s">
        <v>232</v>
      </c>
      <c r="J72" s="50" t="s">
        <v>233</v>
      </c>
      <c r="K72" s="49">
        <v>30178</v>
      </c>
      <c r="L72" s="49" t="s">
        <v>231</v>
      </c>
      <c r="M72" s="50" t="s">
        <v>198</v>
      </c>
      <c r="N72" s="50"/>
      <c r="O72" s="51" t="s">
        <v>204</v>
      </c>
      <c r="P72" s="51" t="s">
        <v>205</v>
      </c>
    </row>
    <row r="73" spans="1:16" ht="12.75" customHeight="1" thickBot="1">
      <c r="A73" s="11" t="str">
        <f t="shared" si="6"/>
        <v> AOEB 6 </v>
      </c>
      <c r="B73" s="16" t="str">
        <f t="shared" si="7"/>
        <v>I</v>
      </c>
      <c r="C73" s="11">
        <f t="shared" si="8"/>
        <v>50869.671</v>
      </c>
      <c r="D73" s="13" t="str">
        <f t="shared" si="9"/>
        <v>vis</v>
      </c>
      <c r="E73" s="48">
        <f>VLOOKUP(C73,A!C$21:E$973,3,FALSE)</f>
        <v>30212.831543562024</v>
      </c>
      <c r="F73" s="16" t="s">
        <v>60</v>
      </c>
      <c r="G73" s="13" t="str">
        <f t="shared" si="10"/>
        <v>50869.671</v>
      </c>
      <c r="H73" s="11">
        <f t="shared" si="11"/>
        <v>30213</v>
      </c>
      <c r="I73" s="49" t="s">
        <v>234</v>
      </c>
      <c r="J73" s="50" t="s">
        <v>235</v>
      </c>
      <c r="K73" s="49">
        <v>30213</v>
      </c>
      <c r="L73" s="49" t="s">
        <v>236</v>
      </c>
      <c r="M73" s="50" t="s">
        <v>198</v>
      </c>
      <c r="N73" s="50"/>
      <c r="O73" s="51" t="s">
        <v>204</v>
      </c>
      <c r="P73" s="51" t="s">
        <v>205</v>
      </c>
    </row>
    <row r="74" spans="1:16" ht="12.75" customHeight="1" thickBot="1">
      <c r="A74" s="11" t="str">
        <f t="shared" si="6"/>
        <v> AOEB 6 </v>
      </c>
      <c r="B74" s="16" t="str">
        <f t="shared" si="7"/>
        <v>I</v>
      </c>
      <c r="C74" s="11">
        <f t="shared" si="8"/>
        <v>50902.626</v>
      </c>
      <c r="D74" s="13" t="str">
        <f t="shared" si="9"/>
        <v>vis</v>
      </c>
      <c r="E74" s="48">
        <f>VLOOKUP(C74,A!C$21:E$973,3,FALSE)</f>
        <v>30260.839743021595</v>
      </c>
      <c r="F74" s="16" t="s">
        <v>60</v>
      </c>
      <c r="G74" s="13" t="str">
        <f t="shared" si="10"/>
        <v>50902.626</v>
      </c>
      <c r="H74" s="11">
        <f t="shared" si="11"/>
        <v>30261</v>
      </c>
      <c r="I74" s="49" t="s">
        <v>237</v>
      </c>
      <c r="J74" s="50" t="s">
        <v>238</v>
      </c>
      <c r="K74" s="49">
        <v>30261</v>
      </c>
      <c r="L74" s="49" t="s">
        <v>239</v>
      </c>
      <c r="M74" s="50" t="s">
        <v>198</v>
      </c>
      <c r="N74" s="50"/>
      <c r="O74" s="51" t="s">
        <v>204</v>
      </c>
      <c r="P74" s="51" t="s">
        <v>205</v>
      </c>
    </row>
    <row r="75" spans="1:16" ht="12.75" customHeight="1" thickBot="1">
      <c r="A75" s="11" t="str">
        <f t="shared" si="6"/>
        <v> BRNO 32 </v>
      </c>
      <c r="B75" s="16" t="str">
        <f t="shared" si="7"/>
        <v>I</v>
      </c>
      <c r="C75" s="11">
        <f t="shared" si="8"/>
        <v>51555.4556</v>
      </c>
      <c r="D75" s="13" t="str">
        <f t="shared" si="9"/>
        <v>vis</v>
      </c>
      <c r="E75" s="48">
        <f>VLOOKUP(C75,A!C$21:E$973,3,FALSE)</f>
        <v>31211.86913613095</v>
      </c>
      <c r="F75" s="16" t="s">
        <v>60</v>
      </c>
      <c r="G75" s="13" t="str">
        <f t="shared" si="10"/>
        <v>51555.4556</v>
      </c>
      <c r="H75" s="11">
        <f t="shared" si="11"/>
        <v>31212</v>
      </c>
      <c r="I75" s="49" t="s">
        <v>240</v>
      </c>
      <c r="J75" s="50" t="s">
        <v>241</v>
      </c>
      <c r="K75" s="49">
        <v>31212</v>
      </c>
      <c r="L75" s="49" t="s">
        <v>242</v>
      </c>
      <c r="M75" s="50" t="s">
        <v>243</v>
      </c>
      <c r="N75" s="50" t="s">
        <v>244</v>
      </c>
      <c r="O75" s="51" t="s">
        <v>245</v>
      </c>
      <c r="P75" s="51" t="s">
        <v>246</v>
      </c>
    </row>
    <row r="76" spans="1:16" ht="12.75" customHeight="1" thickBot="1">
      <c r="A76" s="11" t="str">
        <f t="shared" si="6"/>
        <v> AOEB 6 </v>
      </c>
      <c r="B76" s="16" t="str">
        <f t="shared" si="7"/>
        <v>I</v>
      </c>
      <c r="C76" s="11">
        <f t="shared" si="8"/>
        <v>51609.667</v>
      </c>
      <c r="D76" s="13" t="str">
        <f t="shared" si="9"/>
        <v>vis</v>
      </c>
      <c r="E76" s="48">
        <f>VLOOKUP(C76,A!C$21:E$973,3,FALSE)</f>
        <v>31290.84324337365</v>
      </c>
      <c r="F76" s="16" t="s">
        <v>60</v>
      </c>
      <c r="G76" s="13" t="str">
        <f t="shared" si="10"/>
        <v>51609.667</v>
      </c>
      <c r="H76" s="11">
        <f t="shared" si="11"/>
        <v>31291</v>
      </c>
      <c r="I76" s="49" t="s">
        <v>247</v>
      </c>
      <c r="J76" s="50" t="s">
        <v>248</v>
      </c>
      <c r="K76" s="49">
        <v>31291</v>
      </c>
      <c r="L76" s="49" t="s">
        <v>249</v>
      </c>
      <c r="M76" s="50" t="s">
        <v>198</v>
      </c>
      <c r="N76" s="50"/>
      <c r="O76" s="51" t="s">
        <v>204</v>
      </c>
      <c r="P76" s="51" t="s">
        <v>205</v>
      </c>
    </row>
    <row r="77" spans="1:16" ht="12.75" customHeight="1" thickBot="1">
      <c r="A77" s="11" t="str">
        <f t="shared" si="6"/>
        <v>BAVM 241 (=IBVS 6157) </v>
      </c>
      <c r="B77" s="16" t="str">
        <f t="shared" si="7"/>
        <v>I</v>
      </c>
      <c r="C77" s="11">
        <f t="shared" si="8"/>
        <v>57094.3494</v>
      </c>
      <c r="D77" s="13" t="str">
        <f t="shared" si="9"/>
        <v>vis</v>
      </c>
      <c r="E77" s="48">
        <f>VLOOKUP(C77,A!C$21:E$973,3,FALSE)</f>
        <v>39280.82129318866</v>
      </c>
      <c r="F77" s="16" t="s">
        <v>60</v>
      </c>
      <c r="G77" s="13" t="str">
        <f t="shared" si="10"/>
        <v>57094.3494</v>
      </c>
      <c r="H77" s="11">
        <f t="shared" si="11"/>
        <v>39281</v>
      </c>
      <c r="I77" s="49" t="s">
        <v>277</v>
      </c>
      <c r="J77" s="50" t="s">
        <v>278</v>
      </c>
      <c r="K77" s="49" t="s">
        <v>279</v>
      </c>
      <c r="L77" s="49" t="s">
        <v>280</v>
      </c>
      <c r="M77" s="50" t="s">
        <v>258</v>
      </c>
      <c r="N77" s="50" t="s">
        <v>268</v>
      </c>
      <c r="O77" s="51" t="s">
        <v>281</v>
      </c>
      <c r="P77" s="52" t="s">
        <v>282</v>
      </c>
    </row>
    <row r="78" spans="2:6" ht="12.75">
      <c r="B78" s="16"/>
      <c r="E78" s="48"/>
      <c r="F78" s="16"/>
    </row>
    <row r="79" spans="2:6" ht="12.75">
      <c r="B79" s="16"/>
      <c r="E79" s="48"/>
      <c r="F79" s="16"/>
    </row>
    <row r="80" spans="2:6" ht="12.75">
      <c r="B80" s="16"/>
      <c r="E80" s="48"/>
      <c r="F80" s="16"/>
    </row>
    <row r="81" spans="2:6" ht="12.75">
      <c r="B81" s="16"/>
      <c r="E81" s="48"/>
      <c r="F81" s="16"/>
    </row>
    <row r="82" spans="2:6" ht="12.75">
      <c r="B82" s="16"/>
      <c r="E82" s="48"/>
      <c r="F82" s="16"/>
    </row>
    <row r="83" spans="2:6" ht="12.75">
      <c r="B83" s="16"/>
      <c r="E83" s="48"/>
      <c r="F83" s="16"/>
    </row>
    <row r="84" spans="2:6" ht="12.75">
      <c r="B84" s="16"/>
      <c r="E84" s="48"/>
      <c r="F84" s="16"/>
    </row>
    <row r="85" spans="2:6" ht="12.75">
      <c r="B85" s="16"/>
      <c r="E85" s="48"/>
      <c r="F85" s="16"/>
    </row>
    <row r="86" spans="2:6" ht="12.75">
      <c r="B86" s="16"/>
      <c r="E86" s="48"/>
      <c r="F86" s="16"/>
    </row>
    <row r="87" spans="2:6" ht="12.75">
      <c r="B87" s="16"/>
      <c r="E87" s="48"/>
      <c r="F87" s="16"/>
    </row>
    <row r="88" spans="2:6" ht="12.75">
      <c r="B88" s="16"/>
      <c r="E88" s="48"/>
      <c r="F88" s="16"/>
    </row>
    <row r="89" spans="2:6" ht="12.75">
      <c r="B89" s="16"/>
      <c r="E89" s="48"/>
      <c r="F89" s="16"/>
    </row>
    <row r="90" spans="2:6" ht="12.75">
      <c r="B90" s="16"/>
      <c r="E90" s="48"/>
      <c r="F90" s="16"/>
    </row>
    <row r="91" spans="2:6" ht="12.75">
      <c r="B91" s="16"/>
      <c r="E91" s="48"/>
      <c r="F91" s="16"/>
    </row>
    <row r="92" spans="2:6" ht="12.75">
      <c r="B92" s="16"/>
      <c r="E92" s="48"/>
      <c r="F92" s="16"/>
    </row>
    <row r="93" spans="2:6" ht="12.75">
      <c r="B93" s="16"/>
      <c r="E93" s="48"/>
      <c r="F93" s="16"/>
    </row>
    <row r="94" spans="2:6" ht="12.75">
      <c r="B94" s="16"/>
      <c r="E94" s="48"/>
      <c r="F94" s="16"/>
    </row>
    <row r="95" spans="2:6" ht="12.75">
      <c r="B95" s="16"/>
      <c r="E95" s="48"/>
      <c r="F95" s="16"/>
    </row>
    <row r="96" spans="2:6" ht="12.75">
      <c r="B96" s="16"/>
      <c r="E96" s="48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  <row r="788" spans="2:6" ht="12.75">
      <c r="B788" s="16"/>
      <c r="F788" s="16"/>
    </row>
    <row r="789" spans="2:6" ht="12.75">
      <c r="B789" s="16"/>
      <c r="F789" s="16"/>
    </row>
    <row r="790" spans="2:6" ht="12.75">
      <c r="B790" s="16"/>
      <c r="F790" s="16"/>
    </row>
    <row r="791" spans="2:6" ht="12.75">
      <c r="B791" s="16"/>
      <c r="F791" s="16"/>
    </row>
    <row r="792" spans="2:6" ht="12.75">
      <c r="B792" s="16"/>
      <c r="F792" s="16"/>
    </row>
    <row r="793" spans="2:6" ht="12.75">
      <c r="B793" s="16"/>
      <c r="F793" s="16"/>
    </row>
    <row r="794" spans="2:6" ht="12.75">
      <c r="B794" s="16"/>
      <c r="F794" s="16"/>
    </row>
    <row r="795" spans="2:6" ht="12.75">
      <c r="B795" s="16"/>
      <c r="F795" s="16"/>
    </row>
    <row r="796" spans="2:6" ht="12.75">
      <c r="B796" s="16"/>
      <c r="F796" s="16"/>
    </row>
    <row r="797" spans="2:6" ht="12.75">
      <c r="B797" s="16"/>
      <c r="F797" s="16"/>
    </row>
    <row r="798" spans="2:6" ht="12.75">
      <c r="B798" s="16"/>
      <c r="F798" s="16"/>
    </row>
    <row r="799" spans="2:6" ht="12.75">
      <c r="B799" s="16"/>
      <c r="F799" s="16"/>
    </row>
    <row r="800" spans="2:6" ht="12.75">
      <c r="B800" s="16"/>
      <c r="F800" s="16"/>
    </row>
    <row r="801" spans="2:6" ht="12.75">
      <c r="B801" s="16"/>
      <c r="F801" s="16"/>
    </row>
    <row r="802" spans="2:6" ht="12.75">
      <c r="B802" s="16"/>
      <c r="F802" s="16"/>
    </row>
    <row r="803" spans="2:6" ht="12.75">
      <c r="B803" s="16"/>
      <c r="F803" s="16"/>
    </row>
    <row r="804" spans="2:6" ht="12.75">
      <c r="B804" s="16"/>
      <c r="F804" s="16"/>
    </row>
    <row r="805" spans="2:6" ht="12.75">
      <c r="B805" s="16"/>
      <c r="F805" s="16"/>
    </row>
    <row r="806" spans="2:6" ht="12.75">
      <c r="B806" s="16"/>
      <c r="F806" s="16"/>
    </row>
    <row r="807" spans="2:6" ht="12.75">
      <c r="B807" s="16"/>
      <c r="F807" s="16"/>
    </row>
    <row r="808" spans="2:6" ht="12.75">
      <c r="B808" s="16"/>
      <c r="F808" s="16"/>
    </row>
    <row r="809" spans="2:6" ht="12.75">
      <c r="B809" s="16"/>
      <c r="F809" s="16"/>
    </row>
    <row r="810" spans="2:6" ht="12.75">
      <c r="B810" s="16"/>
      <c r="F810" s="16"/>
    </row>
    <row r="811" spans="2:6" ht="12.75">
      <c r="B811" s="16"/>
      <c r="F811" s="16"/>
    </row>
    <row r="812" spans="2:6" ht="12.75">
      <c r="B812" s="16"/>
      <c r="F812" s="16"/>
    </row>
    <row r="813" spans="2:6" ht="12.75">
      <c r="B813" s="16"/>
      <c r="F813" s="16"/>
    </row>
    <row r="814" spans="2:6" ht="12.75">
      <c r="B814" s="16"/>
      <c r="F814" s="16"/>
    </row>
    <row r="815" spans="2:6" ht="12.75">
      <c r="B815" s="16"/>
      <c r="F815" s="16"/>
    </row>
    <row r="816" spans="2:6" ht="12.75">
      <c r="B816" s="16"/>
      <c r="F816" s="16"/>
    </row>
    <row r="817" spans="2:6" ht="12.75">
      <c r="B817" s="16"/>
      <c r="F817" s="16"/>
    </row>
    <row r="818" spans="2:6" ht="12.75">
      <c r="B818" s="16"/>
      <c r="F818" s="16"/>
    </row>
    <row r="819" spans="2:6" ht="12.75">
      <c r="B819" s="16"/>
      <c r="F819" s="16"/>
    </row>
    <row r="820" spans="2:6" ht="12.75">
      <c r="B820" s="16"/>
      <c r="F820" s="16"/>
    </row>
    <row r="821" spans="2:6" ht="12.75">
      <c r="B821" s="16"/>
      <c r="F821" s="16"/>
    </row>
    <row r="822" spans="2:6" ht="12.75">
      <c r="B822" s="16"/>
      <c r="F822" s="16"/>
    </row>
    <row r="823" spans="2:6" ht="12.75">
      <c r="B823" s="16"/>
      <c r="F823" s="16"/>
    </row>
    <row r="824" spans="2:6" ht="12.75">
      <c r="B824" s="16"/>
      <c r="F824" s="16"/>
    </row>
    <row r="825" spans="2:6" ht="12.75">
      <c r="B825" s="16"/>
      <c r="F825" s="16"/>
    </row>
    <row r="826" spans="2:6" ht="12.75">
      <c r="B826" s="16"/>
      <c r="F826" s="16"/>
    </row>
    <row r="827" spans="2:6" ht="12.75">
      <c r="B827" s="16"/>
      <c r="F827" s="16"/>
    </row>
    <row r="828" spans="2:6" ht="12.75">
      <c r="B828" s="16"/>
      <c r="F828" s="16"/>
    </row>
    <row r="829" spans="2:6" ht="12.75">
      <c r="B829" s="16"/>
      <c r="F829" s="16"/>
    </row>
    <row r="830" spans="2:6" ht="12.75">
      <c r="B830" s="16"/>
      <c r="F830" s="16"/>
    </row>
    <row r="831" spans="2:6" ht="12.75">
      <c r="B831" s="16"/>
      <c r="F831" s="16"/>
    </row>
    <row r="832" spans="2:6" ht="12.75">
      <c r="B832" s="16"/>
      <c r="F832" s="16"/>
    </row>
    <row r="833" spans="2:6" ht="12.75">
      <c r="B833" s="16"/>
      <c r="F833" s="16"/>
    </row>
    <row r="834" spans="2:6" ht="12.75">
      <c r="B834" s="16"/>
      <c r="F834" s="16"/>
    </row>
    <row r="835" spans="2:6" ht="12.75">
      <c r="B835" s="16"/>
      <c r="F835" s="16"/>
    </row>
    <row r="836" spans="2:6" ht="12.75">
      <c r="B836" s="16"/>
      <c r="F836" s="16"/>
    </row>
    <row r="837" spans="2:6" ht="12.75">
      <c r="B837" s="16"/>
      <c r="F837" s="16"/>
    </row>
    <row r="838" spans="2:6" ht="12.75">
      <c r="B838" s="16"/>
      <c r="F838" s="16"/>
    </row>
    <row r="839" spans="2:6" ht="12.75">
      <c r="B839" s="16"/>
      <c r="F839" s="16"/>
    </row>
    <row r="840" spans="2:6" ht="12.75">
      <c r="B840" s="16"/>
      <c r="F840" s="16"/>
    </row>
    <row r="841" spans="2:6" ht="12.75">
      <c r="B841" s="16"/>
      <c r="F841" s="16"/>
    </row>
    <row r="842" spans="2:6" ht="12.75">
      <c r="B842" s="16"/>
      <c r="F842" s="16"/>
    </row>
    <row r="843" spans="2:6" ht="12.75">
      <c r="B843" s="16"/>
      <c r="F843" s="16"/>
    </row>
    <row r="844" spans="2:6" ht="12.75">
      <c r="B844" s="16"/>
      <c r="F844" s="16"/>
    </row>
    <row r="845" spans="2:6" ht="12.75">
      <c r="B845" s="16"/>
      <c r="F845" s="16"/>
    </row>
    <row r="846" spans="2:6" ht="12.75">
      <c r="B846" s="16"/>
      <c r="F846" s="16"/>
    </row>
    <row r="847" spans="2:6" ht="12.75">
      <c r="B847" s="16"/>
      <c r="F847" s="16"/>
    </row>
    <row r="848" spans="2:6" ht="12.75">
      <c r="B848" s="16"/>
      <c r="F848" s="16"/>
    </row>
    <row r="849" spans="2:6" ht="12.75">
      <c r="B849" s="16"/>
      <c r="F849" s="16"/>
    </row>
    <row r="850" spans="2:6" ht="12.75">
      <c r="B850" s="16"/>
      <c r="F850" s="16"/>
    </row>
    <row r="851" spans="2:6" ht="12.75">
      <c r="B851" s="16"/>
      <c r="F851" s="16"/>
    </row>
    <row r="852" spans="2:6" ht="12.75">
      <c r="B852" s="16"/>
      <c r="F852" s="16"/>
    </row>
    <row r="853" spans="2:6" ht="12.75">
      <c r="B853" s="16"/>
      <c r="F853" s="16"/>
    </row>
    <row r="854" spans="2:6" ht="12.75">
      <c r="B854" s="16"/>
      <c r="F854" s="16"/>
    </row>
    <row r="855" spans="2:6" ht="12.75">
      <c r="B855" s="16"/>
      <c r="F855" s="16"/>
    </row>
    <row r="856" spans="2:6" ht="12.75">
      <c r="B856" s="16"/>
      <c r="F856" s="16"/>
    </row>
    <row r="857" spans="2:6" ht="12.75">
      <c r="B857" s="16"/>
      <c r="F857" s="16"/>
    </row>
    <row r="858" spans="2:6" ht="12.75">
      <c r="B858" s="16"/>
      <c r="F858" s="16"/>
    </row>
    <row r="859" spans="2:6" ht="12.75">
      <c r="B859" s="16"/>
      <c r="F859" s="16"/>
    </row>
    <row r="860" spans="2:6" ht="12.75">
      <c r="B860" s="16"/>
      <c r="F860" s="16"/>
    </row>
    <row r="861" spans="2:6" ht="12.75">
      <c r="B861" s="16"/>
      <c r="F861" s="16"/>
    </row>
    <row r="862" spans="2:6" ht="12.75">
      <c r="B862" s="16"/>
      <c r="F862" s="16"/>
    </row>
    <row r="863" spans="2:6" ht="12.75">
      <c r="B863" s="16"/>
      <c r="F863" s="16"/>
    </row>
    <row r="864" spans="2:6" ht="12.75">
      <c r="B864" s="16"/>
      <c r="F864" s="16"/>
    </row>
    <row r="865" spans="2:6" ht="12.75">
      <c r="B865" s="16"/>
      <c r="F865" s="16"/>
    </row>
    <row r="866" spans="2:6" ht="12.75">
      <c r="B866" s="16"/>
      <c r="F866" s="16"/>
    </row>
    <row r="867" spans="2:6" ht="12.75">
      <c r="B867" s="16"/>
      <c r="F867" s="16"/>
    </row>
    <row r="868" spans="2:6" ht="12.75">
      <c r="B868" s="16"/>
      <c r="F868" s="16"/>
    </row>
    <row r="869" spans="2:6" ht="12.75">
      <c r="B869" s="16"/>
      <c r="F869" s="16"/>
    </row>
    <row r="870" spans="2:6" ht="12.75">
      <c r="B870" s="16"/>
      <c r="F870" s="16"/>
    </row>
    <row r="871" spans="2:6" ht="12.75">
      <c r="B871" s="16"/>
      <c r="F871" s="16"/>
    </row>
    <row r="872" spans="2:6" ht="12.75">
      <c r="B872" s="16"/>
      <c r="F872" s="16"/>
    </row>
    <row r="873" spans="2:6" ht="12.75">
      <c r="B873" s="16"/>
      <c r="F873" s="16"/>
    </row>
    <row r="874" spans="2:6" ht="12.75">
      <c r="B874" s="16"/>
      <c r="F874" s="16"/>
    </row>
    <row r="875" spans="2:6" ht="12.75">
      <c r="B875" s="16"/>
      <c r="F875" s="16"/>
    </row>
    <row r="876" spans="2:6" ht="12.75">
      <c r="B876" s="16"/>
      <c r="F876" s="16"/>
    </row>
    <row r="877" spans="2:6" ht="12.75">
      <c r="B877" s="16"/>
      <c r="F877" s="16"/>
    </row>
    <row r="878" spans="2:6" ht="12.75">
      <c r="B878" s="16"/>
      <c r="F878" s="16"/>
    </row>
    <row r="879" spans="2:6" ht="12.75">
      <c r="B879" s="16"/>
      <c r="F879" s="16"/>
    </row>
    <row r="880" spans="2:6" ht="12.75">
      <c r="B880" s="16"/>
      <c r="F880" s="16"/>
    </row>
    <row r="881" spans="2:6" ht="12.75">
      <c r="B881" s="16"/>
      <c r="F881" s="16"/>
    </row>
    <row r="882" spans="2:6" ht="12.75">
      <c r="B882" s="16"/>
      <c r="F882" s="16"/>
    </row>
    <row r="883" spans="2:6" ht="12.75">
      <c r="B883" s="16"/>
      <c r="F883" s="16"/>
    </row>
    <row r="884" spans="2:6" ht="12.75">
      <c r="B884" s="16"/>
      <c r="F884" s="16"/>
    </row>
  </sheetData>
  <sheetProtection/>
  <hyperlinks>
    <hyperlink ref="P11" r:id="rId1" display="http://www.konkoly.hu/cgi-bin/IBVS?5583"/>
    <hyperlink ref="P13" r:id="rId2" display="http://www.konkoly.hu/cgi-bin/IBVS?5603"/>
    <hyperlink ref="P14" r:id="rId3" display="http://www.bav-astro.de/sfs/BAVM_link.php?BAVMnr=201"/>
    <hyperlink ref="P15" r:id="rId4" display="http://www.konkoly.hu/cgi-bin/IBVS?6029"/>
    <hyperlink ref="P77" r:id="rId5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