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8355" windowHeight="1432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<sst xmlns="http://schemas.openxmlformats.org/spreadsheetml/2006/main" count="357" uniqueCount="181">
  <si>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</si>
  <si>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</si>
  <si>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</si>
  <si>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</si>
  <si>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</si>
  <si>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</si>
  <si>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</si>
  <si>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</si>
  <si>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</si>
  <si>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</si>
  <si>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</si>
  <si>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</si>
  <si>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</si>
  <si>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</si>
  <si>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</si>
  <si>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</si>
  <si>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</si>
  <si>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</si>
  <si>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</si>
  <si>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</si>
  <si>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</si>
  <si>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</si>
  <si>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</si>
  <si>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</si>
  <si>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</si>
  <si>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</si>
  <si>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</si>
  <si>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</si>
  <si>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EB/DM</t>
  </si>
  <si>
    <t>ROTSE</t>
  </si>
  <si>
    <t>II</t>
  </si>
  <si>
    <t>I</t>
  </si>
  <si>
    <t>IBVS 5507</t>
  </si>
  <si>
    <t>IBVS 5592</t>
  </si>
  <si>
    <t>Krajci</t>
  </si>
  <si>
    <t>IBVS</t>
  </si>
  <si>
    <t>A.A.Wachmann AHSB 7.3.177</t>
  </si>
  <si>
    <t># of data points: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</si>
  <si>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</si>
  <si>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</si>
  <si>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</si>
  <si>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</si>
  <si>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</si>
  <si>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</si>
  <si>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</si>
  <si>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</si>
  <si>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</si>
  <si>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IBVS 5918</t>
  </si>
  <si>
    <t>IBVS 6007</t>
  </si>
  <si>
    <t>IBVS 6048</t>
  </si>
  <si>
    <t>BAD?</t>
  </si>
  <si>
    <t>Possible eccentric orbit</t>
  </si>
  <si>
    <t>V0450 Mon / GSC 00148-02346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</si>
  <si>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</si>
  <si>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</si>
  <si>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</si>
  <si>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</si>
  <si>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</si>
  <si>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</si>
  <si>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</si>
  <si>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</si>
  <si>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</si>
  <si>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</si>
  <si>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</si>
  <si>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</si>
  <si>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2429340.300 </t>
  </si>
  <si>
    <t> 17.03.1939 19:12 </t>
  </si>
  <si>
    <t> 0.022 </t>
  </si>
  <si>
    <t>P </t>
  </si>
  <si>
    <t> A.A.Wachmann </t>
  </si>
  <si>
    <t> AHSB 7.3.177 </t>
  </si>
  <si>
    <t>2429615.560 </t>
  </si>
  <si>
    <t> 18.12.1939 01:26 </t>
  </si>
  <si>
    <t> -0.000 </t>
  </si>
  <si>
    <t>2429697.350 </t>
  </si>
  <si>
    <t> 08.03.1940 20:24 </t>
  </si>
  <si>
    <t> -0.016 </t>
  </si>
  <si>
    <t>2430698.500 </t>
  </si>
  <si>
    <t> 05.12.1942 00:00 </t>
  </si>
  <si>
    <t> -0.011 </t>
  </si>
  <si>
    <t>2431033.535 </t>
  </si>
  <si>
    <t> 05.11.1943 00:50 </t>
  </si>
  <si>
    <t> 0.011 </t>
  </si>
  <si>
    <t>2431846.370 </t>
  </si>
  <si>
    <t> 25.01.1946 20:52 </t>
  </si>
  <si>
    <t>2431911.330 </t>
  </si>
  <si>
    <t> 31.03.1946 19:55 </t>
  </si>
  <si>
    <t> 0.019 </t>
  </si>
  <si>
    <t>2432233.340 </t>
  </si>
  <si>
    <t> 16.02.1947 20:09 </t>
  </si>
  <si>
    <t> 0.001 </t>
  </si>
  <si>
    <t>2432916.340 </t>
  </si>
  <si>
    <t> 30.12.1948 20:09 </t>
  </si>
  <si>
    <t>2432947.520 </t>
  </si>
  <si>
    <t> 31.01.1949 00:28 </t>
  </si>
  <si>
    <t> 0.005 </t>
  </si>
  <si>
    <t>2434086.280 </t>
  </si>
  <si>
    <t> 14.03.1952 18:43 </t>
  </si>
  <si>
    <t> -0.020 </t>
  </si>
  <si>
    <t>2434356.340 </t>
  </si>
  <si>
    <t> 09.12.1952 20:09 </t>
  </si>
  <si>
    <t> -0.049 </t>
  </si>
  <si>
    <t>2434417.390 </t>
  </si>
  <si>
    <t> 08.02.1953 21:21 </t>
  </si>
  <si>
    <t> -0.028 </t>
  </si>
  <si>
    <t>2434769.280 </t>
  </si>
  <si>
    <t> 26.01.1954 18:43 </t>
  </si>
  <si>
    <t> -0.032 </t>
  </si>
  <si>
    <t>2434770.590 </t>
  </si>
  <si>
    <t> 28.01.1954 02:09 </t>
  </si>
  <si>
    <t>2434778.370 </t>
  </si>
  <si>
    <t> 04.02.1954 20:52 </t>
  </si>
  <si>
    <t> -0.031 </t>
  </si>
  <si>
    <t>2435044.605 </t>
  </si>
  <si>
    <t> 29.10.1954 02:31 </t>
  </si>
  <si>
    <t>2435131.580 </t>
  </si>
  <si>
    <t> 24.01.1955 01:55 </t>
  </si>
  <si>
    <t> -0.014 </t>
  </si>
  <si>
    <t>2435161.515 </t>
  </si>
  <si>
    <t> 23.02.1955 00:21 </t>
  </si>
  <si>
    <t> 0.056 </t>
  </si>
  <si>
    <t>2435165.360 </t>
  </si>
  <si>
    <t> 26.02.1955 20:38 </t>
  </si>
  <si>
    <t>2435453.635 </t>
  </si>
  <si>
    <t> 12.12.1955 03:14 </t>
  </si>
  <si>
    <t> 0.013 </t>
  </si>
  <si>
    <t>2436253.510 </t>
  </si>
  <si>
    <t> 19.02.1958 00:14 </t>
  </si>
  <si>
    <t>2436983.250 </t>
  </si>
  <si>
    <t> 18.02.1960 18:00 </t>
  </si>
  <si>
    <t> -0.007 </t>
  </si>
  <si>
    <t>2447176.384 </t>
  </si>
  <si>
    <t> 15.01.1988 21:12 </t>
  </si>
  <si>
    <t> -0.107 </t>
  </si>
  <si>
    <t> P.Frank </t>
  </si>
  <si>
    <t>BAVM 179 </t>
  </si>
  <si>
    <t>2451114.8896 </t>
  </si>
  <si>
    <t> 28.10.1998 09:21 </t>
  </si>
  <si>
    <t> 0.0439 </t>
  </si>
  <si>
    <t>E </t>
  </si>
  <si>
    <t>?</t>
  </si>
  <si>
    <t> Ogloza&amp;Zakrewski </t>
  </si>
  <si>
    <t>IBVS 5507 </t>
  </si>
  <si>
    <t>2451116.1809 </t>
  </si>
  <si>
    <t> 29.10.1998 16:20 </t>
  </si>
  <si>
    <t> 0.0367 </t>
  </si>
  <si>
    <t>2451200.5893 </t>
  </si>
  <si>
    <t> 22.01.1999 02:08 </t>
  </si>
  <si>
    <t> 0.0425 </t>
  </si>
  <si>
    <t>2451201.8825 </t>
  </si>
  <si>
    <t> 23.01.1999 09:10 </t>
  </si>
  <si>
    <t> 0.0372 </t>
  </si>
  <si>
    <t>2451501.8426 </t>
  </si>
  <si>
    <t> 19.11.1999 08:13 </t>
  </si>
  <si>
    <t> 0.0436 </t>
  </si>
  <si>
    <t>2451503.1348 </t>
  </si>
  <si>
    <t> 20.11.1999 15:14 </t>
  </si>
  <si>
    <t> 0.0373 </t>
  </si>
  <si>
    <t>2453056.1414 </t>
  </si>
  <si>
    <t> 20.02.2004 15:23 </t>
  </si>
  <si>
    <t> 0.0364 </t>
  </si>
  <si>
    <t> T.Krajci </t>
  </si>
  <si>
    <t>IBVS 5592 </t>
  </si>
  <si>
    <t>2454531.26083 </t>
  </si>
  <si>
    <t> 05.03.2008 18:15 </t>
  </si>
  <si>
    <t> 0.05837 </t>
  </si>
  <si>
    <t>C </t>
  </si>
  <si>
    <t>R</t>
  </si>
  <si>
    <t> P.Zasche </t>
  </si>
  <si>
    <t>IBVS 6007 </t>
  </si>
  <si>
    <t>2454841.5516 </t>
  </si>
  <si>
    <t> 10.01.2009 01:14 </t>
  </si>
  <si>
    <t> 0.0073 </t>
  </si>
  <si>
    <t>-I</t>
  </si>
  <si>
    <t> F.Agerer </t>
  </si>
  <si>
    <t>BAVM 209 </t>
  </si>
  <si>
    <t>2455980.4014 </t>
  </si>
  <si>
    <t> 22.02.2012 21:38 </t>
  </si>
  <si>
    <t>9144</t>
  </si>
  <si>
    <t> 0.0715 </t>
  </si>
  <si>
    <t>BAVM 228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</si>
</sst>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2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V450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A!$H$21:$H$985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A!$I$21:$I$985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A!$J$21:$J$985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A!$K$21:$K$985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A!$L$21:$L$985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A!$M$21:$M$985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plus>
            <c:minus>
              <c:numRef>
                <c:f>A!$D$21:$D$985</c:f>
                <c:numCache>
                  <c:ptCount val="96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0.0011</c:v>
                  </c:pt>
                  <c:pt idx="26">
                    <c:v>0.0018</c:v>
                  </c:pt>
                  <c:pt idx="27">
                    <c:v>0.0012</c:v>
                  </c:pt>
                  <c:pt idx="28">
                    <c:v>0.0013</c:v>
                  </c:pt>
                  <c:pt idx="29">
                    <c:v>0.0013</c:v>
                  </c:pt>
                  <c:pt idx="30">
                    <c:v>0.0017</c:v>
                  </c:pt>
                  <c:pt idx="31">
                    <c:v>0.01</c:v>
                  </c:pt>
                  <c:pt idx="32">
                    <c:v>0.01</c:v>
                  </c:pt>
                  <c:pt idx="33">
                    <c:v>0.0004</c:v>
                  </c:pt>
                  <c:pt idx="34">
                    <c:v>0.0002</c:v>
                  </c:pt>
                  <c:pt idx="35">
                    <c:v>0.0029</c:v>
                  </c:pt>
                  <c:pt idx="36">
                    <c:v>0.0064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A!$F$21:$F$985</c:f>
              <c:numCache/>
            </c:numRef>
          </c:xVal>
          <c:yVal>
            <c:numRef>
              <c:f>A!$N$21:$N$985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A!$F$21:$F$985</c:f>
              <c:numCache/>
            </c:numRef>
          </c:xVal>
          <c:yVal>
            <c:numRef>
              <c:f>A!$O$21:$O$985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A!$F$21:$F$985</c:f>
              <c:numCache/>
            </c:numRef>
          </c:xVal>
          <c:yVal>
            <c:numRef>
              <c:f>A!$R$21:$R$985</c:f>
              <c:numCache/>
            </c:numRef>
          </c:yVal>
          <c:smooth val="0"/>
        </c:ser>
        <c:axId val="27656529"/>
        <c:axId val="47582170"/>
      </c:scatterChart>
      <c:val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crossBetween val="midCat"/>
        <c:dispUnits/>
      </c:valAx>
      <c:valAx>
        <c:axId val="4758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92975"/>
          <c:w val="0.896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19050</xdr:rowOff>
    </xdr:from>
    <xdr:to>
      <xdr:col>15</xdr:col>
      <xdr:colOff>304800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29050" y="190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9" TargetMode="External" /><Relationship Id="rId2" Type="http://schemas.openxmlformats.org/officeDocument/2006/relationships/hyperlink" Target="http://www.konkoly.hu/cgi-bin/IBVS?5507" TargetMode="External" /><Relationship Id="rId3" Type="http://schemas.openxmlformats.org/officeDocument/2006/relationships/hyperlink" Target="http://www.konkoly.hu/cgi-bin/IBVS?5507" TargetMode="External" /><Relationship Id="rId4" Type="http://schemas.openxmlformats.org/officeDocument/2006/relationships/hyperlink" Target="http://www.konkoly.hu/cgi-bin/IBVS?5507" TargetMode="External" /><Relationship Id="rId5" Type="http://schemas.openxmlformats.org/officeDocument/2006/relationships/hyperlink" Target="http://www.konkoly.hu/cgi-bin/IBVS?5507" TargetMode="External" /><Relationship Id="rId6" Type="http://schemas.openxmlformats.org/officeDocument/2006/relationships/hyperlink" Target="http://www.konkoly.hu/cgi-bin/IBVS?5507" TargetMode="External" /><Relationship Id="rId7" Type="http://schemas.openxmlformats.org/officeDocument/2006/relationships/hyperlink" Target="http://www.konkoly.hu/cgi-bin/IBVS?5507" TargetMode="External" /><Relationship Id="rId8" Type="http://schemas.openxmlformats.org/officeDocument/2006/relationships/hyperlink" Target="http://www.konkoly.hu/cgi-bin/IBVS?5592" TargetMode="External" /><Relationship Id="rId9" Type="http://schemas.openxmlformats.org/officeDocument/2006/relationships/hyperlink" Target="http://www.konkoly.hu/cgi-bin/IBVS?6007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2" ht="12.75">
      <c r="A2" t="s">
        <v>24</v>
      </c>
      <c r="B2" s="11" t="s">
        <v>28</v>
      </c>
    </row>
    <row r="3" ht="12.75">
      <c r="B3" s="5"/>
    </row>
    <row r="4" spans="1:4" ht="12.75">
      <c r="A4" s="7" t="s">
        <v>0</v>
      </c>
      <c r="B4" s="10"/>
      <c r="C4" s="3">
        <v>32233.339</v>
      </c>
      <c r="D4" s="4">
        <v>2.5970025</v>
      </c>
    </row>
    <row r="5" ht="12.75">
      <c r="C5" s="24" t="s">
        <v>51</v>
      </c>
    </row>
    <row r="6" ht="12.75">
      <c r="A6" s="7" t="s">
        <v>1</v>
      </c>
    </row>
    <row r="7" spans="1:3" ht="12.75">
      <c r="A7" t="s">
        <v>2</v>
      </c>
      <c r="C7">
        <f>+C4</f>
        <v>32233.339</v>
      </c>
    </row>
    <row r="8" spans="1:3" ht="12.75">
      <c r="A8" t="s">
        <v>3</v>
      </c>
      <c r="C8">
        <f>+D4</f>
        <v>2.5970025</v>
      </c>
    </row>
    <row r="9" spans="1:5" ht="12.75">
      <c r="A9" s="19" t="s">
        <v>38</v>
      </c>
      <c r="B9" s="20"/>
      <c r="C9" s="21">
        <v>-9.5</v>
      </c>
      <c r="D9" s="20" t="s">
        <v>39</v>
      </c>
      <c r="E9" s="20"/>
    </row>
    <row r="10" spans="1:5" ht="13.5" thickBot="1">
      <c r="A10" s="20"/>
      <c r="B10" s="20"/>
      <c r="C10" s="6" t="s">
        <v>20</v>
      </c>
      <c r="D10" s="6" t="s">
        <v>21</v>
      </c>
      <c r="E10" s="20"/>
    </row>
    <row r="11" spans="1:7" ht="12.75">
      <c r="A11" s="20" t="s">
        <v>16</v>
      </c>
      <c r="B11" s="20"/>
      <c r="C11" s="22">
        <f ca="1">INTERCEPT(INDIRECT($G$11):G980,INDIRECT($F$11):F980)</f>
        <v>-0.006417502934167459</v>
      </c>
      <c r="D11" s="5"/>
      <c r="E11" s="20"/>
      <c r="F11" s="23" t="str">
        <f>"F"&amp;E19</f>
        <v>F21</v>
      </c>
      <c r="G11" s="24" t="str">
        <f>"G"&amp;E19</f>
        <v>G21</v>
      </c>
    </row>
    <row r="12" spans="1:5" ht="12.75">
      <c r="A12" s="20" t="s">
        <v>17</v>
      </c>
      <c r="B12" s="20"/>
      <c r="C12" s="22">
        <f ca="1">SLOPE(INDIRECT($G$11):G980,INDIRECT($F$11):F980)</f>
        <v>6.712163867624691E-06</v>
      </c>
      <c r="D12" s="5"/>
      <c r="E12" s="20"/>
    </row>
    <row r="13" spans="1:5" ht="12.75">
      <c r="A13" s="20" t="s">
        <v>19</v>
      </c>
      <c r="B13" s="20"/>
      <c r="C13" s="5" t="s">
        <v>14</v>
      </c>
      <c r="D13" s="25" t="s">
        <v>40</v>
      </c>
      <c r="E13" s="21">
        <v>1</v>
      </c>
    </row>
    <row r="14" spans="1:5" ht="12.75">
      <c r="A14" s="20"/>
      <c r="B14" s="20"/>
      <c r="C14" s="20"/>
      <c r="D14" s="25" t="s">
        <v>41</v>
      </c>
      <c r="E14" s="26">
        <f ca="1">NOW()+15018.5+$C$9/24</f>
        <v>59903.72561747685</v>
      </c>
    </row>
    <row r="15" spans="1:5" ht="12.75">
      <c r="A15" s="27" t="s">
        <v>18</v>
      </c>
      <c r="B15" s="20"/>
      <c r="C15" s="28">
        <f>(C7+C11)+(C8+C12)*INT(MAX(F21:F3521))</f>
        <v>55980.384818523475</v>
      </c>
      <c r="D15" s="25" t="s">
        <v>42</v>
      </c>
      <c r="E15" s="26">
        <f>ROUND(2*(E14-$C$7)/$C$8,0)/2+E13</f>
        <v>10655.5</v>
      </c>
    </row>
    <row r="16" spans="1:5" ht="12.75">
      <c r="A16" s="29" t="s">
        <v>4</v>
      </c>
      <c r="B16" s="20"/>
      <c r="C16" s="30">
        <f>+C8+C12</f>
        <v>2.5970092121638677</v>
      </c>
      <c r="D16" s="25" t="s">
        <v>43</v>
      </c>
      <c r="E16" s="24">
        <f>ROUND(2*(E14-$C$15)/$C$16,0)/2+E13</f>
        <v>1511.5</v>
      </c>
    </row>
    <row r="17" spans="1:5" ht="13.5" thickBot="1">
      <c r="A17" s="25" t="s">
        <v>37</v>
      </c>
      <c r="B17" s="20"/>
      <c r="C17" s="20">
        <f>COUNT(C21:C2179)</f>
        <v>37</v>
      </c>
      <c r="D17" s="25" t="s">
        <v>44</v>
      </c>
      <c r="E17" s="31">
        <f>+$C$15+$C$16*E16-15018.5-$C$9/24</f>
        <v>44887.6600760425</v>
      </c>
    </row>
    <row r="18" spans="1:5" ht="12.75">
      <c r="A18" s="29" t="s">
        <v>5</v>
      </c>
      <c r="B18" s="20"/>
      <c r="C18" s="32">
        <f>+C15</f>
        <v>55980.384818523475</v>
      </c>
      <c r="D18" s="33">
        <f>+C16</f>
        <v>2.5970092121638677</v>
      </c>
      <c r="E18" s="34" t="s">
        <v>45</v>
      </c>
    </row>
    <row r="19" spans="1:5" ht="13.5" thickTop="1">
      <c r="A19" s="35" t="s">
        <v>46</v>
      </c>
      <c r="E19" s="36">
        <v>21</v>
      </c>
    </row>
    <row r="20" spans="1:18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29</v>
      </c>
      <c r="J20" s="9" t="s">
        <v>34</v>
      </c>
      <c r="K20" s="9" t="s">
        <v>35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R20" s="45" t="s">
        <v>50</v>
      </c>
    </row>
    <row r="21" spans="1:17" ht="12.75">
      <c r="A21" s="13" t="s">
        <v>36</v>
      </c>
      <c r="C21" s="16">
        <v>29340.3</v>
      </c>
      <c r="D21" s="16"/>
      <c r="E21">
        <f aca="true" t="shared" si="0" ref="E21:E57">+(C21-C$7)/C$8</f>
        <v>-1113.991611482854</v>
      </c>
      <c r="F21">
        <f aca="true" t="shared" si="1" ref="F21:F57">ROUND(2*E21,0)/2</f>
        <v>-1114</v>
      </c>
      <c r="G21">
        <f aca="true" t="shared" si="2" ref="G21:G44">+C21-(C$7+F21*C$8)</f>
        <v>0.0217850000008184</v>
      </c>
      <c r="N21">
        <f aca="true" t="shared" si="3" ref="N21:N27">G21</f>
        <v>0.0217850000008184</v>
      </c>
      <c r="O21">
        <f aca="true" t="shared" si="4" ref="O21:O57">+C$11+C$12*$F21</f>
        <v>-0.013894853482701365</v>
      </c>
      <c r="Q21" s="2">
        <f aca="true" t="shared" si="5" ref="Q21:Q57">+C21-15018.5</f>
        <v>14321.8</v>
      </c>
    </row>
    <row r="22" spans="1:17" ht="12.75">
      <c r="A22" s="14" t="s">
        <v>36</v>
      </c>
      <c r="C22" s="16">
        <v>29615.56</v>
      </c>
      <c r="D22" s="16"/>
      <c r="E22">
        <f t="shared" si="0"/>
        <v>-1008.0001848284701</v>
      </c>
      <c r="F22">
        <f t="shared" si="1"/>
        <v>-1008</v>
      </c>
      <c r="G22">
        <f t="shared" si="2"/>
        <v>-0.0004799999987881165</v>
      </c>
      <c r="N22">
        <f t="shared" si="3"/>
        <v>-0.0004799999987881165</v>
      </c>
      <c r="O22">
        <f t="shared" si="4"/>
        <v>-0.013183364112733149</v>
      </c>
      <c r="Q22" s="2">
        <f t="shared" si="5"/>
        <v>14597.060000000001</v>
      </c>
    </row>
    <row r="23" spans="1:17" ht="12.75">
      <c r="A23" s="14" t="s">
        <v>36</v>
      </c>
      <c r="C23" s="16">
        <v>29697.35</v>
      </c>
      <c r="D23" s="16"/>
      <c r="E23">
        <f t="shared" si="0"/>
        <v>-976.5061835712524</v>
      </c>
      <c r="F23">
        <f t="shared" si="1"/>
        <v>-976.5</v>
      </c>
      <c r="G23">
        <f t="shared" si="2"/>
        <v>-0.016058749999501742</v>
      </c>
      <c r="N23">
        <f t="shared" si="3"/>
        <v>-0.016058749999501742</v>
      </c>
      <c r="O23">
        <f t="shared" si="4"/>
        <v>-0.01297193095090297</v>
      </c>
      <c r="Q23" s="2">
        <f t="shared" si="5"/>
        <v>14678.849999999999</v>
      </c>
    </row>
    <row r="24" spans="1:17" ht="12.75">
      <c r="A24" s="14" t="s">
        <v>36</v>
      </c>
      <c r="C24" s="16">
        <v>30698.5</v>
      </c>
      <c r="D24" s="16"/>
      <c r="E24">
        <f t="shared" si="0"/>
        <v>-591.0040517866271</v>
      </c>
      <c r="F24">
        <f t="shared" si="1"/>
        <v>-591</v>
      </c>
      <c r="G24">
        <f t="shared" si="2"/>
        <v>-0.010522500000661239</v>
      </c>
      <c r="N24">
        <f t="shared" si="3"/>
        <v>-0.010522500000661239</v>
      </c>
      <c r="O24">
        <f t="shared" si="4"/>
        <v>-0.010384391779933652</v>
      </c>
      <c r="Q24" s="2">
        <f t="shared" si="5"/>
        <v>15680</v>
      </c>
    </row>
    <row r="25" spans="1:17" ht="12.75">
      <c r="A25" s="14" t="s">
        <v>36</v>
      </c>
      <c r="C25" s="16">
        <v>31033.535</v>
      </c>
      <c r="D25" s="16"/>
      <c r="E25">
        <f t="shared" si="0"/>
        <v>-461.9957046633571</v>
      </c>
      <c r="F25">
        <f t="shared" si="1"/>
        <v>-462</v>
      </c>
      <c r="G25">
        <f t="shared" si="2"/>
        <v>0.011155000000144355</v>
      </c>
      <c r="N25">
        <f t="shared" si="3"/>
        <v>0.011155000000144355</v>
      </c>
      <c r="O25">
        <f t="shared" si="4"/>
        <v>-0.009518522641010066</v>
      </c>
      <c r="Q25" s="2">
        <f t="shared" si="5"/>
        <v>16015.035</v>
      </c>
    </row>
    <row r="26" spans="1:17" ht="12.75">
      <c r="A26" s="14" t="s">
        <v>36</v>
      </c>
      <c r="C26" s="16">
        <v>31846.37</v>
      </c>
      <c r="D26" s="16"/>
      <c r="E26">
        <f t="shared" si="0"/>
        <v>-149.00601751442326</v>
      </c>
      <c r="F26">
        <f t="shared" si="1"/>
        <v>-149</v>
      </c>
      <c r="G26">
        <f t="shared" si="2"/>
        <v>-0.01562750000084634</v>
      </c>
      <c r="N26">
        <f t="shared" si="3"/>
        <v>-0.01562750000084634</v>
      </c>
      <c r="O26">
        <f t="shared" si="4"/>
        <v>-0.007417615350443538</v>
      </c>
      <c r="Q26" s="2">
        <f t="shared" si="5"/>
        <v>16827.87</v>
      </c>
    </row>
    <row r="27" spans="1:17" ht="12.75">
      <c r="A27" s="14" t="s">
        <v>36</v>
      </c>
      <c r="C27" s="16">
        <v>31911.33</v>
      </c>
      <c r="D27" s="16"/>
      <c r="E27">
        <f t="shared" si="0"/>
        <v>-123.9925645046542</v>
      </c>
      <c r="F27">
        <f t="shared" si="1"/>
        <v>-124</v>
      </c>
      <c r="G27">
        <f t="shared" si="2"/>
        <v>0.01931000000331551</v>
      </c>
      <c r="N27">
        <f t="shared" si="3"/>
        <v>0.01931000000331551</v>
      </c>
      <c r="O27">
        <f t="shared" si="4"/>
        <v>-0.007249811253752921</v>
      </c>
      <c r="Q27" s="2">
        <f t="shared" si="5"/>
        <v>16892.83</v>
      </c>
    </row>
    <row r="28" spans="1:17" ht="12.75">
      <c r="A28" s="14" t="s">
        <v>12</v>
      </c>
      <c r="B28" s="5"/>
      <c r="C28" s="16">
        <v>32233.339</v>
      </c>
      <c r="D28" s="16" t="s">
        <v>14</v>
      </c>
      <c r="E28">
        <f t="shared" si="0"/>
        <v>0</v>
      </c>
      <c r="F28">
        <f t="shared" si="1"/>
        <v>0</v>
      </c>
      <c r="G28">
        <f t="shared" si="2"/>
        <v>0</v>
      </c>
      <c r="H28">
        <f>+G28</f>
        <v>0</v>
      </c>
      <c r="O28">
        <f t="shared" si="4"/>
        <v>-0.006417502934167459</v>
      </c>
      <c r="Q28" s="2">
        <f t="shared" si="5"/>
        <v>17214.839</v>
      </c>
    </row>
    <row r="29" spans="1:17" ht="12.75">
      <c r="A29" s="14" t="s">
        <v>36</v>
      </c>
      <c r="C29" s="16">
        <v>32233.34</v>
      </c>
      <c r="D29" s="16"/>
      <c r="E29">
        <f t="shared" si="0"/>
        <v>0.0003850593136524616</v>
      </c>
      <c r="F29">
        <f t="shared" si="1"/>
        <v>0</v>
      </c>
      <c r="G29">
        <f t="shared" si="2"/>
        <v>0.0010000000002037268</v>
      </c>
      <c r="N29">
        <f aca="true" t="shared" si="6" ref="N29:N44">G29</f>
        <v>0.0010000000002037268</v>
      </c>
      <c r="O29">
        <f t="shared" si="4"/>
        <v>-0.006417502934167459</v>
      </c>
      <c r="Q29" s="2">
        <f t="shared" si="5"/>
        <v>17214.84</v>
      </c>
    </row>
    <row r="30" spans="1:17" ht="12.75">
      <c r="A30" s="14" t="s">
        <v>36</v>
      </c>
      <c r="C30" s="16">
        <v>32916.34</v>
      </c>
      <c r="D30" s="16"/>
      <c r="E30">
        <f t="shared" si="0"/>
        <v>262.9958962303643</v>
      </c>
      <c r="F30">
        <f t="shared" si="1"/>
        <v>263</v>
      </c>
      <c r="G30">
        <f t="shared" si="2"/>
        <v>-0.01065750000270782</v>
      </c>
      <c r="N30">
        <f t="shared" si="6"/>
        <v>-0.01065750000270782</v>
      </c>
      <c r="O30">
        <f t="shared" si="4"/>
        <v>-0.004652203836982165</v>
      </c>
      <c r="Q30" s="2">
        <f t="shared" si="5"/>
        <v>17897.839999999997</v>
      </c>
    </row>
    <row r="31" spans="1:17" ht="12.75">
      <c r="A31" s="14" t="s">
        <v>36</v>
      </c>
      <c r="C31" s="16">
        <v>32947.52</v>
      </c>
      <c r="D31" s="16"/>
      <c r="E31">
        <f t="shared" si="0"/>
        <v>275.0020456276022</v>
      </c>
      <c r="F31">
        <f t="shared" si="1"/>
        <v>275</v>
      </c>
      <c r="G31">
        <f t="shared" si="2"/>
        <v>0.0053124999976716936</v>
      </c>
      <c r="N31">
        <f t="shared" si="6"/>
        <v>0.0053124999976716936</v>
      </c>
      <c r="O31">
        <f t="shared" si="4"/>
        <v>-0.004571657870570669</v>
      </c>
      <c r="Q31" s="2">
        <f t="shared" si="5"/>
        <v>17929.019999999997</v>
      </c>
    </row>
    <row r="32" spans="1:17" ht="12.75">
      <c r="A32" s="14" t="s">
        <v>36</v>
      </c>
      <c r="C32" s="16">
        <v>34086.28</v>
      </c>
      <c r="D32" s="16"/>
      <c r="E32">
        <f t="shared" si="0"/>
        <v>713.4921895531479</v>
      </c>
      <c r="F32">
        <f t="shared" si="1"/>
        <v>713.5</v>
      </c>
      <c r="G32">
        <f t="shared" si="2"/>
        <v>-0.02028375000372762</v>
      </c>
      <c r="N32">
        <f t="shared" si="6"/>
        <v>-0.02028375000372762</v>
      </c>
      <c r="O32">
        <f t="shared" si="4"/>
        <v>-0.0016283740146172416</v>
      </c>
      <c r="Q32" s="2">
        <f t="shared" si="5"/>
        <v>19067.78</v>
      </c>
    </row>
    <row r="33" spans="1:17" ht="12.75">
      <c r="A33" s="14" t="s">
        <v>36</v>
      </c>
      <c r="C33" s="16">
        <v>34356.34</v>
      </c>
      <c r="D33" s="16"/>
      <c r="E33">
        <f t="shared" si="0"/>
        <v>817.4813077769454</v>
      </c>
      <c r="F33">
        <f t="shared" si="1"/>
        <v>817.5</v>
      </c>
      <c r="G33">
        <f t="shared" si="2"/>
        <v>-0.04854375000286382</v>
      </c>
      <c r="N33">
        <f t="shared" si="6"/>
        <v>-0.04854375000286382</v>
      </c>
      <c r="O33">
        <f t="shared" si="4"/>
        <v>-0.0009303089723842741</v>
      </c>
      <c r="Q33" s="2">
        <f t="shared" si="5"/>
        <v>19337.839999999997</v>
      </c>
    </row>
    <row r="34" spans="1:17" ht="12.75">
      <c r="A34" s="14" t="s">
        <v>36</v>
      </c>
      <c r="C34" s="16">
        <v>34417.39</v>
      </c>
      <c r="D34" s="16"/>
      <c r="E34">
        <f t="shared" si="0"/>
        <v>840.9891788706401</v>
      </c>
      <c r="F34">
        <f t="shared" si="1"/>
        <v>841</v>
      </c>
      <c r="G34">
        <f t="shared" si="2"/>
        <v>-0.0281025000003865</v>
      </c>
      <c r="N34">
        <f t="shared" si="6"/>
        <v>-0.0281025000003865</v>
      </c>
      <c r="O34">
        <f t="shared" si="4"/>
        <v>-0.0007725731214950939</v>
      </c>
      <c r="Q34" s="2">
        <f t="shared" si="5"/>
        <v>19398.89</v>
      </c>
    </row>
    <row r="35" spans="1:17" ht="12.75">
      <c r="A35" s="14" t="s">
        <v>36</v>
      </c>
      <c r="C35" s="16">
        <v>34769.28</v>
      </c>
      <c r="D35" s="16"/>
      <c r="E35">
        <f t="shared" si="0"/>
        <v>976.4877007242</v>
      </c>
      <c r="F35">
        <f t="shared" si="1"/>
        <v>976.5</v>
      </c>
      <c r="G35">
        <f t="shared" si="2"/>
        <v>-0.03194125000300119</v>
      </c>
      <c r="N35">
        <f t="shared" si="6"/>
        <v>-0.03194125000300119</v>
      </c>
      <c r="O35">
        <f t="shared" si="4"/>
        <v>0.00013692508256805177</v>
      </c>
      <c r="Q35" s="2">
        <f t="shared" si="5"/>
        <v>19750.78</v>
      </c>
    </row>
    <row r="36" spans="1:17" ht="12.75">
      <c r="A36" s="14" t="s">
        <v>36</v>
      </c>
      <c r="C36" s="16">
        <v>34770.59</v>
      </c>
      <c r="D36" s="16"/>
      <c r="E36">
        <f t="shared" si="0"/>
        <v>976.9921284249809</v>
      </c>
      <c r="F36">
        <f t="shared" si="1"/>
        <v>977</v>
      </c>
      <c r="G36">
        <f t="shared" si="2"/>
        <v>-0.020442500004719477</v>
      </c>
      <c r="N36">
        <f t="shared" si="6"/>
        <v>-0.020442500004719477</v>
      </c>
      <c r="O36">
        <f t="shared" si="4"/>
        <v>0.0001402811645018643</v>
      </c>
      <c r="Q36" s="2">
        <f t="shared" si="5"/>
        <v>19752.089999999997</v>
      </c>
    </row>
    <row r="37" spans="1:17" ht="12.75">
      <c r="A37" s="14" t="s">
        <v>36</v>
      </c>
      <c r="C37" s="16">
        <v>34778.37</v>
      </c>
      <c r="D37" s="16"/>
      <c r="E37">
        <f t="shared" si="0"/>
        <v>979.9878898845892</v>
      </c>
      <c r="F37">
        <f t="shared" si="1"/>
        <v>980</v>
      </c>
      <c r="G37">
        <f t="shared" si="2"/>
        <v>-0.031449999994947575</v>
      </c>
      <c r="N37">
        <f t="shared" si="6"/>
        <v>-0.031449999994947575</v>
      </c>
      <c r="O37">
        <f t="shared" si="4"/>
        <v>0.00016041765610473862</v>
      </c>
      <c r="Q37" s="2">
        <f t="shared" si="5"/>
        <v>19759.870000000003</v>
      </c>
    </row>
    <row r="38" spans="1:17" ht="12.75">
      <c r="A38" s="14" t="s">
        <v>36</v>
      </c>
      <c r="C38" s="16">
        <v>35044.605</v>
      </c>
      <c r="D38" s="16"/>
      <c r="E38">
        <f t="shared" si="0"/>
        <v>1082.5041562339673</v>
      </c>
      <c r="F38">
        <f t="shared" si="1"/>
        <v>1082.5</v>
      </c>
      <c r="G38">
        <f t="shared" si="2"/>
        <v>0.01079375000699656</v>
      </c>
      <c r="N38">
        <f t="shared" si="6"/>
        <v>0.01079375000699656</v>
      </c>
      <c r="O38">
        <f t="shared" si="4"/>
        <v>0.0008484144525362693</v>
      </c>
      <c r="Q38" s="2">
        <f t="shared" si="5"/>
        <v>20026.105000000003</v>
      </c>
    </row>
    <row r="39" spans="1:17" ht="12.75">
      <c r="A39" s="14" t="s">
        <v>36</v>
      </c>
      <c r="C39" s="16">
        <v>35131.58</v>
      </c>
      <c r="D39" s="16"/>
      <c r="E39">
        <f t="shared" si="0"/>
        <v>1115.9946900320665</v>
      </c>
      <c r="F39">
        <f t="shared" si="1"/>
        <v>1116</v>
      </c>
      <c r="G39">
        <f t="shared" si="2"/>
        <v>-0.013789999997243285</v>
      </c>
      <c r="N39">
        <f t="shared" si="6"/>
        <v>-0.013789999997243285</v>
      </c>
      <c r="O39">
        <f t="shared" si="4"/>
        <v>0.0010732719421016968</v>
      </c>
      <c r="Q39" s="2">
        <f t="shared" si="5"/>
        <v>20113.08</v>
      </c>
    </row>
    <row r="40" spans="1:17" ht="12.75">
      <c r="A40" s="14" t="s">
        <v>36</v>
      </c>
      <c r="C40" s="16">
        <v>35161.515</v>
      </c>
      <c r="D40" s="16"/>
      <c r="E40">
        <f t="shared" si="0"/>
        <v>1127.5214405839038</v>
      </c>
      <c r="F40">
        <f t="shared" si="1"/>
        <v>1127.5</v>
      </c>
      <c r="G40">
        <f t="shared" si="2"/>
        <v>0.05568124999990687</v>
      </c>
      <c r="N40">
        <f t="shared" si="6"/>
        <v>0.05568124999990687</v>
      </c>
      <c r="O40">
        <f t="shared" si="4"/>
        <v>0.0011504618265793807</v>
      </c>
      <c r="Q40" s="2">
        <f t="shared" si="5"/>
        <v>20143.015</v>
      </c>
    </row>
    <row r="41" spans="1:17" ht="12.75">
      <c r="A41" s="14" t="s">
        <v>36</v>
      </c>
      <c r="C41" s="16">
        <v>35165.36</v>
      </c>
      <c r="D41" s="16"/>
      <c r="E41">
        <f t="shared" si="0"/>
        <v>1129.0019936445963</v>
      </c>
      <c r="F41">
        <f t="shared" si="1"/>
        <v>1129</v>
      </c>
      <c r="G41">
        <f t="shared" si="2"/>
        <v>0.00517750000290107</v>
      </c>
      <c r="N41">
        <f t="shared" si="6"/>
        <v>0.00517750000290107</v>
      </c>
      <c r="O41">
        <f t="shared" si="4"/>
        <v>0.0011605300723808174</v>
      </c>
      <c r="Q41" s="2">
        <f t="shared" si="5"/>
        <v>20146.86</v>
      </c>
    </row>
    <row r="42" spans="1:17" ht="12.75">
      <c r="A42" s="14" t="s">
        <v>36</v>
      </c>
      <c r="C42" s="16">
        <v>35453.635</v>
      </c>
      <c r="D42" s="16"/>
      <c r="E42">
        <f t="shared" si="0"/>
        <v>1240.004967265146</v>
      </c>
      <c r="F42">
        <f t="shared" si="1"/>
        <v>1240</v>
      </c>
      <c r="G42">
        <f t="shared" si="2"/>
        <v>0.012900000001536682</v>
      </c>
      <c r="N42">
        <f t="shared" si="6"/>
        <v>0.012900000001536682</v>
      </c>
      <c r="O42">
        <f t="shared" si="4"/>
        <v>0.0019055802616871585</v>
      </c>
      <c r="Q42" s="2">
        <f t="shared" si="5"/>
        <v>20435.135000000002</v>
      </c>
    </row>
    <row r="43" spans="1:17" ht="12.75">
      <c r="A43" s="14" t="s">
        <v>36</v>
      </c>
      <c r="C43" s="16">
        <v>36253.51</v>
      </c>
      <c r="D43" s="16"/>
      <c r="E43">
        <f t="shared" si="0"/>
        <v>1548.004285710161</v>
      </c>
      <c r="F43">
        <f t="shared" si="1"/>
        <v>1548</v>
      </c>
      <c r="G43">
        <f t="shared" si="2"/>
        <v>0.011129999998956919</v>
      </c>
      <c r="N43">
        <f t="shared" si="6"/>
        <v>0.011129999998956919</v>
      </c>
      <c r="O43">
        <f t="shared" si="4"/>
        <v>0.003972926732915563</v>
      </c>
      <c r="Q43" s="2">
        <f t="shared" si="5"/>
        <v>21235.010000000002</v>
      </c>
    </row>
    <row r="44" spans="1:17" ht="12.75">
      <c r="A44" s="14" t="s">
        <v>36</v>
      </c>
      <c r="C44" s="16">
        <v>36983.25</v>
      </c>
      <c r="D44" s="16"/>
      <c r="E44">
        <f t="shared" si="0"/>
        <v>1828.9974691976615</v>
      </c>
      <c r="F44">
        <f t="shared" si="1"/>
        <v>1829</v>
      </c>
      <c r="G44">
        <f t="shared" si="2"/>
        <v>-0.006572500002221204</v>
      </c>
      <c r="N44">
        <f t="shared" si="6"/>
        <v>-0.006572500002221204</v>
      </c>
      <c r="O44">
        <f t="shared" si="4"/>
        <v>0.005859044779718102</v>
      </c>
      <c r="Q44" s="2">
        <f t="shared" si="5"/>
        <v>21964.75</v>
      </c>
    </row>
    <row r="45" spans="1:21" ht="12.75">
      <c r="A45" s="59" t="s">
        <v>135</v>
      </c>
      <c r="B45" s="61" t="s">
        <v>31</v>
      </c>
      <c r="C45" s="60">
        <v>47176.384</v>
      </c>
      <c r="D45" s="40"/>
      <c r="E45">
        <f t="shared" si="0"/>
        <v>5753.9586504056115</v>
      </c>
      <c r="F45">
        <f t="shared" si="1"/>
        <v>5754</v>
      </c>
      <c r="O45">
        <f t="shared" si="4"/>
        <v>0.03220428796014502</v>
      </c>
      <c r="Q45" s="2">
        <f t="shared" si="5"/>
        <v>32157.884</v>
      </c>
      <c r="U45">
        <f>+C45-(C$7+F45*C$8)</f>
        <v>-0.1073850000029779</v>
      </c>
    </row>
    <row r="46" spans="1:17" ht="12.75">
      <c r="A46" s="15" t="s">
        <v>32</v>
      </c>
      <c r="B46" s="12" t="s">
        <v>30</v>
      </c>
      <c r="C46" s="17">
        <v>51114.88959999988</v>
      </c>
      <c r="D46" s="18">
        <v>0.0011</v>
      </c>
      <c r="E46">
        <f t="shared" si="0"/>
        <v>7270.516913248978</v>
      </c>
      <c r="F46">
        <f t="shared" si="1"/>
        <v>7270.5</v>
      </c>
      <c r="G46">
        <f aca="true" t="shared" si="7" ref="G46:G55">+C46-(C$7+F46*C$8)</f>
        <v>0.04392374987946823</v>
      </c>
      <c r="K46">
        <f aca="true" t="shared" si="8" ref="K46:K51">+G46</f>
        <v>0.04392374987946823</v>
      </c>
      <c r="O46">
        <f t="shared" si="4"/>
        <v>0.04238328446539786</v>
      </c>
      <c r="Q46" s="2">
        <f t="shared" si="5"/>
        <v>36096.38959999988</v>
      </c>
    </row>
    <row r="47" spans="1:17" ht="12.75">
      <c r="A47" s="15" t="s">
        <v>32</v>
      </c>
      <c r="B47" s="12" t="s">
        <v>31</v>
      </c>
      <c r="C47" s="17">
        <v>51116.180900000036</v>
      </c>
      <c r="D47" s="18">
        <v>0.0018</v>
      </c>
      <c r="E47">
        <f t="shared" si="0"/>
        <v>7271.014140340657</v>
      </c>
      <c r="F47">
        <f t="shared" si="1"/>
        <v>7271</v>
      </c>
      <c r="G47">
        <f t="shared" si="7"/>
        <v>0.0367225000372855</v>
      </c>
      <c r="K47">
        <f t="shared" si="8"/>
        <v>0.0367225000372855</v>
      </c>
      <c r="O47">
        <f t="shared" si="4"/>
        <v>0.04238664054733167</v>
      </c>
      <c r="Q47" s="2">
        <f t="shared" si="5"/>
        <v>36097.680900000036</v>
      </c>
    </row>
    <row r="48" spans="1:17" ht="12.75">
      <c r="A48" s="15" t="s">
        <v>32</v>
      </c>
      <c r="B48" s="12" t="s">
        <v>30</v>
      </c>
      <c r="C48" s="17">
        <v>51200.58930000011</v>
      </c>
      <c r="D48" s="18">
        <v>0.0012</v>
      </c>
      <c r="E48">
        <f t="shared" si="0"/>
        <v>7303.516380904566</v>
      </c>
      <c r="F48">
        <f t="shared" si="1"/>
        <v>7303.5</v>
      </c>
      <c r="G48">
        <f t="shared" si="7"/>
        <v>0.0425412501062965</v>
      </c>
      <c r="K48">
        <f t="shared" si="8"/>
        <v>0.0425412501062965</v>
      </c>
      <c r="O48">
        <f t="shared" si="4"/>
        <v>0.042604785873029474</v>
      </c>
      <c r="Q48" s="2">
        <f t="shared" si="5"/>
        <v>36182.08930000011</v>
      </c>
    </row>
    <row r="49" spans="1:17" ht="12.75">
      <c r="A49" s="15" t="s">
        <v>32</v>
      </c>
      <c r="B49" s="12" t="s">
        <v>31</v>
      </c>
      <c r="C49" s="17">
        <v>51201.88249999983</v>
      </c>
      <c r="D49" s="18">
        <v>0.0013</v>
      </c>
      <c r="E49">
        <f t="shared" si="0"/>
        <v>7304.014339608773</v>
      </c>
      <c r="F49">
        <f t="shared" si="1"/>
        <v>7304</v>
      </c>
      <c r="G49">
        <f t="shared" si="7"/>
        <v>0.03723999983048998</v>
      </c>
      <c r="K49">
        <f t="shared" si="8"/>
        <v>0.03723999983048998</v>
      </c>
      <c r="O49">
        <f t="shared" si="4"/>
        <v>0.042608141954963284</v>
      </c>
      <c r="Q49" s="2">
        <f t="shared" si="5"/>
        <v>36183.38249999983</v>
      </c>
    </row>
    <row r="50" spans="1:17" ht="12.75">
      <c r="A50" s="15" t="s">
        <v>32</v>
      </c>
      <c r="B50" s="12" t="s">
        <v>30</v>
      </c>
      <c r="C50" s="17">
        <v>51501.84260000009</v>
      </c>
      <c r="D50" s="18">
        <v>0.0013</v>
      </c>
      <c r="E50">
        <f t="shared" si="0"/>
        <v>7419.516769814466</v>
      </c>
      <c r="F50">
        <f t="shared" si="1"/>
        <v>7419.5</v>
      </c>
      <c r="G50">
        <f t="shared" si="7"/>
        <v>0.04355125009169569</v>
      </c>
      <c r="K50">
        <f t="shared" si="8"/>
        <v>0.04355125009169569</v>
      </c>
      <c r="O50">
        <f t="shared" si="4"/>
        <v>0.04338339688167394</v>
      </c>
      <c r="Q50" s="2">
        <f t="shared" si="5"/>
        <v>36483.34260000009</v>
      </c>
    </row>
    <row r="51" spans="1:17" ht="12.75">
      <c r="A51" s="15" t="s">
        <v>32</v>
      </c>
      <c r="B51" s="12" t="s">
        <v>31</v>
      </c>
      <c r="C51" s="17">
        <v>51503.134800000116</v>
      </c>
      <c r="D51" s="18">
        <v>0.0017</v>
      </c>
      <c r="E51">
        <f t="shared" si="0"/>
        <v>7420.014343459476</v>
      </c>
      <c r="F51">
        <f t="shared" si="1"/>
        <v>7420</v>
      </c>
      <c r="G51">
        <f t="shared" si="7"/>
        <v>0.03725000011763768</v>
      </c>
      <c r="K51">
        <f t="shared" si="8"/>
        <v>0.03725000011763768</v>
      </c>
      <c r="O51">
        <f t="shared" si="4"/>
        <v>0.04338675296360775</v>
      </c>
      <c r="Q51" s="2">
        <f t="shared" si="5"/>
        <v>36484.634800000116</v>
      </c>
    </row>
    <row r="52" spans="1:17" ht="12.75">
      <c r="A52" s="14" t="s">
        <v>29</v>
      </c>
      <c r="B52" s="37" t="s">
        <v>30</v>
      </c>
      <c r="C52" s="38">
        <v>51540.8079</v>
      </c>
      <c r="D52" s="38">
        <v>0.01</v>
      </c>
      <c r="E52">
        <f t="shared" si="0"/>
        <v>7434.520721485636</v>
      </c>
      <c r="F52">
        <f t="shared" si="1"/>
        <v>7434.5</v>
      </c>
      <c r="G52">
        <f t="shared" si="7"/>
        <v>0.05381374999706168</v>
      </c>
      <c r="I52">
        <f>+G52</f>
        <v>0.05381374999706168</v>
      </c>
      <c r="O52">
        <f t="shared" si="4"/>
        <v>0.04348407933968831</v>
      </c>
      <c r="Q52" s="2">
        <f t="shared" si="5"/>
        <v>36522.3079</v>
      </c>
    </row>
    <row r="53" spans="1:17" ht="12.75">
      <c r="A53" s="14" t="s">
        <v>29</v>
      </c>
      <c r="B53" s="37" t="s">
        <v>31</v>
      </c>
      <c r="C53" s="38">
        <v>51596.6424</v>
      </c>
      <c r="D53" s="38">
        <v>0.01</v>
      </c>
      <c r="E53">
        <f t="shared" si="0"/>
        <v>7456.020315729384</v>
      </c>
      <c r="F53">
        <f t="shared" si="1"/>
        <v>7456</v>
      </c>
      <c r="G53">
        <f t="shared" si="7"/>
        <v>0.05275999999867054</v>
      </c>
      <c r="I53">
        <f>+G53</f>
        <v>0.05275999999867054</v>
      </c>
      <c r="O53">
        <f t="shared" si="4"/>
        <v>0.04362839086284224</v>
      </c>
      <c r="Q53" s="2">
        <f t="shared" si="5"/>
        <v>36578.1424</v>
      </c>
    </row>
    <row r="54" spans="1:17" ht="12.75">
      <c r="A54" s="15" t="s">
        <v>33</v>
      </c>
      <c r="B54" s="39" t="s">
        <v>31</v>
      </c>
      <c r="C54" s="40">
        <v>53056.1414</v>
      </c>
      <c r="D54" s="40">
        <v>0.0004</v>
      </c>
      <c r="E54">
        <f t="shared" si="0"/>
        <v>8018.013998831346</v>
      </c>
      <c r="F54">
        <f t="shared" si="1"/>
        <v>8018</v>
      </c>
      <c r="G54">
        <f t="shared" si="7"/>
        <v>0.03635499999654712</v>
      </c>
      <c r="K54">
        <f>+G54</f>
        <v>0.03635499999654712</v>
      </c>
      <c r="O54">
        <f t="shared" si="4"/>
        <v>0.04740062695644732</v>
      </c>
      <c r="Q54" s="2">
        <f t="shared" si="5"/>
        <v>38037.6414</v>
      </c>
    </row>
    <row r="55" spans="1:17" ht="12.75">
      <c r="A55" s="15" t="s">
        <v>48</v>
      </c>
      <c r="B55" s="41" t="s">
        <v>31</v>
      </c>
      <c r="C55" s="15">
        <v>54531.26083</v>
      </c>
      <c r="D55" s="15">
        <v>0.0002</v>
      </c>
      <c r="E55">
        <f t="shared" si="0"/>
        <v>8586.022473986837</v>
      </c>
      <c r="F55">
        <f t="shared" si="1"/>
        <v>8586</v>
      </c>
      <c r="G55">
        <f t="shared" si="7"/>
        <v>0.05836500000441447</v>
      </c>
      <c r="K55">
        <f>+G55</f>
        <v>0.05836500000441447</v>
      </c>
      <c r="O55">
        <f t="shared" si="4"/>
        <v>0.05121313603325814</v>
      </c>
      <c r="Q55" s="2">
        <f t="shared" si="5"/>
        <v>39512.76083</v>
      </c>
    </row>
    <row r="56" spans="1:18" ht="12.75">
      <c r="A56" s="15" t="s">
        <v>47</v>
      </c>
      <c r="B56" s="41" t="s">
        <v>30</v>
      </c>
      <c r="C56" s="15">
        <v>54841.5516</v>
      </c>
      <c r="D56" s="15">
        <v>0.0029</v>
      </c>
      <c r="E56">
        <f t="shared" si="0"/>
        <v>8705.50282489139</v>
      </c>
      <c r="F56">
        <f t="shared" si="1"/>
        <v>8705.5</v>
      </c>
      <c r="O56">
        <f t="shared" si="4"/>
        <v>0.052015239615439295</v>
      </c>
      <c r="Q56" s="2">
        <f t="shared" si="5"/>
        <v>39823.0516</v>
      </c>
      <c r="R56">
        <f>+C56-(C$7+F56*C$8)</f>
        <v>0.007336250004300382</v>
      </c>
    </row>
    <row r="57" spans="1:17" ht="12.75">
      <c r="A57" s="42" t="s">
        <v>49</v>
      </c>
      <c r="B57" s="43" t="s">
        <v>31</v>
      </c>
      <c r="C57" s="44">
        <v>55980.4014</v>
      </c>
      <c r="D57" s="44">
        <v>0.0064</v>
      </c>
      <c r="E57">
        <f t="shared" si="0"/>
        <v>9144.027547143294</v>
      </c>
      <c r="F57">
        <f t="shared" si="1"/>
        <v>9144</v>
      </c>
      <c r="G57">
        <f>+C57-(C$7+F57*C$8)</f>
        <v>0.07154000000446104</v>
      </c>
      <c r="K57">
        <f>+G57</f>
        <v>0.07154000000446104</v>
      </c>
      <c r="O57">
        <f t="shared" si="4"/>
        <v>0.05495852347139272</v>
      </c>
      <c r="Q57" s="2">
        <f t="shared" si="5"/>
        <v>40961.9014</v>
      </c>
    </row>
    <row r="58" spans="1:4" ht="12.75">
      <c r="A58" s="14"/>
      <c r="B58" s="5"/>
      <c r="C58" s="11"/>
      <c r="D58" s="11"/>
    </row>
    <row r="59" spans="1:4" ht="12.75">
      <c r="A59" s="14"/>
      <c r="C59" s="11"/>
      <c r="D59" s="11"/>
    </row>
    <row r="60" spans="1:4" ht="12.75">
      <c r="A60" s="14"/>
      <c r="C60" s="11"/>
      <c r="D60" s="11"/>
    </row>
    <row r="61" spans="1:4" ht="12.75">
      <c r="A61" s="14"/>
      <c r="C61" s="11"/>
      <c r="D61" s="11"/>
    </row>
    <row r="62" spans="1:4" ht="12.75">
      <c r="A62" s="14"/>
      <c r="C62" s="11"/>
      <c r="D62" s="11"/>
    </row>
    <row r="63" spans="1:4" ht="12.75">
      <c r="A63" s="14"/>
      <c r="C63" s="11"/>
      <c r="D63" s="11"/>
    </row>
    <row r="64" spans="1:4" ht="12.75">
      <c r="A64" s="14"/>
      <c r="C64" s="11"/>
      <c r="D64" s="11"/>
    </row>
    <row r="65" spans="1:4" ht="12.75">
      <c r="A65" s="14"/>
      <c r="C65" s="11"/>
      <c r="D65" s="11"/>
    </row>
    <row r="66" spans="1:4" ht="12.75">
      <c r="A66" s="14"/>
      <c r="C66" s="11"/>
      <c r="D66" s="11"/>
    </row>
    <row r="67" spans="1:4" ht="12.75">
      <c r="A67" s="14"/>
      <c r="C67" s="11"/>
      <c r="D67" s="11"/>
    </row>
    <row r="68" spans="1:4" ht="12.75">
      <c r="A68" s="14"/>
      <c r="C68" s="11"/>
      <c r="D68" s="11"/>
    </row>
    <row r="69" spans="1:4" ht="12.75">
      <c r="A69" s="14"/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0"/>
  <sheetViews>
    <sheetView zoomScalePageLayoutView="0" workbookViewId="0" topLeftCell="A1">
      <selection activeCell="A38" sqref="A38:C44"/>
    </sheetView>
  </sheetViews>
  <sheetFormatPr defaultColWidth="9.140625" defaultRowHeight="12.75"/>
  <cols>
    <col min="1" max="1" width="19.7109375" style="11" customWidth="1"/>
    <col min="2" max="2" width="4.421875" style="20" customWidth="1"/>
    <col min="3" max="3" width="12.7109375" style="11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1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46" t="s">
        <v>53</v>
      </c>
      <c r="I1" s="47" t="s">
        <v>54</v>
      </c>
      <c r="J1" s="48" t="s">
        <v>55</v>
      </c>
    </row>
    <row r="2" spans="9:10" ht="12.75">
      <c r="I2" s="49" t="s">
        <v>56</v>
      </c>
      <c r="J2" s="50" t="s">
        <v>57</v>
      </c>
    </row>
    <row r="3" spans="1:10" ht="12.75">
      <c r="A3" s="51" t="s">
        <v>58</v>
      </c>
      <c r="I3" s="49" t="s">
        <v>59</v>
      </c>
      <c r="J3" s="50" t="s">
        <v>60</v>
      </c>
    </row>
    <row r="4" spans="9:10" ht="12.75">
      <c r="I4" s="49" t="s">
        <v>61</v>
      </c>
      <c r="J4" s="50" t="s">
        <v>60</v>
      </c>
    </row>
    <row r="5" spans="9:10" ht="13.5" thickBot="1">
      <c r="I5" s="52" t="s">
        <v>62</v>
      </c>
      <c r="J5" s="53" t="s">
        <v>63</v>
      </c>
    </row>
    <row r="10" ht="13.5" thickBot="1"/>
    <row r="11" spans="1:16" ht="12.75" customHeight="1" thickBot="1">
      <c r="A11" s="11" t="str">
        <f aca="true" t="shared" si="0" ref="A11:A44">P11</f>
        <v> AHSB 7.3.177 </v>
      </c>
      <c r="B11" s="5" t="str">
        <f aca="true" t="shared" si="1" ref="B11:B44">IF(H11=INT(H11),"I","II")</f>
        <v>I</v>
      </c>
      <c r="C11" s="11">
        <f aca="true" t="shared" si="2" ref="C11:C44">1*G11</f>
        <v>29340.3</v>
      </c>
      <c r="D11" s="20" t="str">
        <f aca="true" t="shared" si="3" ref="D11:D44">VLOOKUP(F11,I$1:J$5,2,FALSE)</f>
        <v>vis</v>
      </c>
      <c r="E11" s="54">
        <f>VLOOKUP(C11,A!C$21:E$967,3,FALSE)</f>
        <v>-1113.991611482854</v>
      </c>
      <c r="F11" s="5" t="s">
        <v>62</v>
      </c>
      <c r="G11" s="20" t="str">
        <f aca="true" t="shared" si="4" ref="G11:G44">MID(I11,3,LEN(I11)-3)</f>
        <v>29340.300</v>
      </c>
      <c r="H11" s="11">
        <f aca="true" t="shared" si="5" ref="H11:H44">1*K11</f>
        <v>-1114</v>
      </c>
      <c r="I11" s="55" t="s">
        <v>65</v>
      </c>
      <c r="J11" s="56" t="s">
        <v>66</v>
      </c>
      <c r="K11" s="55">
        <v>-1114</v>
      </c>
      <c r="L11" s="55" t="s">
        <v>67</v>
      </c>
      <c r="M11" s="56" t="s">
        <v>68</v>
      </c>
      <c r="N11" s="56"/>
      <c r="O11" s="57" t="s">
        <v>69</v>
      </c>
      <c r="P11" s="57" t="s">
        <v>70</v>
      </c>
    </row>
    <row r="12" spans="1:16" ht="12.75" customHeight="1" thickBot="1">
      <c r="A12" s="11" t="str">
        <f t="shared" si="0"/>
        <v> AHSB 7.3.177 </v>
      </c>
      <c r="B12" s="5" t="str">
        <f t="shared" si="1"/>
        <v>I</v>
      </c>
      <c r="C12" s="11">
        <f t="shared" si="2"/>
        <v>29615.56</v>
      </c>
      <c r="D12" s="20" t="str">
        <f t="shared" si="3"/>
        <v>vis</v>
      </c>
      <c r="E12" s="54">
        <f>VLOOKUP(C12,A!C$21:E$967,3,FALSE)</f>
        <v>-1008.0001848284701</v>
      </c>
      <c r="F12" s="5" t="s">
        <v>62</v>
      </c>
      <c r="G12" s="20" t="str">
        <f t="shared" si="4"/>
        <v>29615.560</v>
      </c>
      <c r="H12" s="11">
        <f t="shared" si="5"/>
        <v>-1008</v>
      </c>
      <c r="I12" s="55" t="s">
        <v>71</v>
      </c>
      <c r="J12" s="56" t="s">
        <v>72</v>
      </c>
      <c r="K12" s="55">
        <v>-1008</v>
      </c>
      <c r="L12" s="55" t="s">
        <v>73</v>
      </c>
      <c r="M12" s="56" t="s">
        <v>68</v>
      </c>
      <c r="N12" s="56"/>
      <c r="O12" s="57" t="s">
        <v>69</v>
      </c>
      <c r="P12" s="57" t="s">
        <v>70</v>
      </c>
    </row>
    <row r="13" spans="1:16" ht="12.75" customHeight="1" thickBot="1">
      <c r="A13" s="11" t="str">
        <f t="shared" si="0"/>
        <v> AHSB 7.3.177 </v>
      </c>
      <c r="B13" s="5" t="str">
        <f t="shared" si="1"/>
        <v>II</v>
      </c>
      <c r="C13" s="11">
        <f t="shared" si="2"/>
        <v>29697.35</v>
      </c>
      <c r="D13" s="20" t="str">
        <f t="shared" si="3"/>
        <v>vis</v>
      </c>
      <c r="E13" s="54">
        <f>VLOOKUP(C13,A!C$21:E$967,3,FALSE)</f>
        <v>-976.5061835712524</v>
      </c>
      <c r="F13" s="5" t="s">
        <v>62</v>
      </c>
      <c r="G13" s="20" t="str">
        <f t="shared" si="4"/>
        <v>29697.350</v>
      </c>
      <c r="H13" s="11">
        <f t="shared" si="5"/>
        <v>-976.5</v>
      </c>
      <c r="I13" s="55" t="s">
        <v>74</v>
      </c>
      <c r="J13" s="56" t="s">
        <v>75</v>
      </c>
      <c r="K13" s="55">
        <v>-976.5</v>
      </c>
      <c r="L13" s="55" t="s">
        <v>76</v>
      </c>
      <c r="M13" s="56" t="s">
        <v>68</v>
      </c>
      <c r="N13" s="56"/>
      <c r="O13" s="57" t="s">
        <v>69</v>
      </c>
      <c r="P13" s="57" t="s">
        <v>70</v>
      </c>
    </row>
    <row r="14" spans="1:16" ht="12.75" customHeight="1" thickBot="1">
      <c r="A14" s="11" t="str">
        <f t="shared" si="0"/>
        <v> AHSB 7.3.177 </v>
      </c>
      <c r="B14" s="5" t="str">
        <f t="shared" si="1"/>
        <v>I</v>
      </c>
      <c r="C14" s="11">
        <f t="shared" si="2"/>
        <v>30698.5</v>
      </c>
      <c r="D14" s="20" t="str">
        <f t="shared" si="3"/>
        <v>vis</v>
      </c>
      <c r="E14" s="54">
        <f>VLOOKUP(C14,A!C$21:E$967,3,FALSE)</f>
        <v>-591.0040517866271</v>
      </c>
      <c r="F14" s="5" t="s">
        <v>62</v>
      </c>
      <c r="G14" s="20" t="str">
        <f t="shared" si="4"/>
        <v>30698.500</v>
      </c>
      <c r="H14" s="11">
        <f t="shared" si="5"/>
        <v>-591</v>
      </c>
      <c r="I14" s="55" t="s">
        <v>77</v>
      </c>
      <c r="J14" s="56" t="s">
        <v>78</v>
      </c>
      <c r="K14" s="55">
        <v>-591</v>
      </c>
      <c r="L14" s="55" t="s">
        <v>79</v>
      </c>
      <c r="M14" s="56" t="s">
        <v>68</v>
      </c>
      <c r="N14" s="56"/>
      <c r="O14" s="57" t="s">
        <v>69</v>
      </c>
      <c r="P14" s="57" t="s">
        <v>70</v>
      </c>
    </row>
    <row r="15" spans="1:16" ht="12.75" customHeight="1" thickBot="1">
      <c r="A15" s="11" t="str">
        <f t="shared" si="0"/>
        <v> AHSB 7.3.177 </v>
      </c>
      <c r="B15" s="5" t="str">
        <f t="shared" si="1"/>
        <v>I</v>
      </c>
      <c r="C15" s="11">
        <f t="shared" si="2"/>
        <v>31033.535</v>
      </c>
      <c r="D15" s="20" t="str">
        <f t="shared" si="3"/>
        <v>vis</v>
      </c>
      <c r="E15" s="54">
        <f>VLOOKUP(C15,A!C$21:E$967,3,FALSE)</f>
        <v>-461.9957046633571</v>
      </c>
      <c r="F15" s="5" t="s">
        <v>62</v>
      </c>
      <c r="G15" s="20" t="str">
        <f t="shared" si="4"/>
        <v>31033.535</v>
      </c>
      <c r="H15" s="11">
        <f t="shared" si="5"/>
        <v>-462</v>
      </c>
      <c r="I15" s="55" t="s">
        <v>80</v>
      </c>
      <c r="J15" s="56" t="s">
        <v>81</v>
      </c>
      <c r="K15" s="55">
        <v>-462</v>
      </c>
      <c r="L15" s="55" t="s">
        <v>82</v>
      </c>
      <c r="M15" s="56" t="s">
        <v>68</v>
      </c>
      <c r="N15" s="56"/>
      <c r="O15" s="57" t="s">
        <v>69</v>
      </c>
      <c r="P15" s="57" t="s">
        <v>70</v>
      </c>
    </row>
    <row r="16" spans="1:16" ht="12.75" customHeight="1" thickBot="1">
      <c r="A16" s="11" t="str">
        <f t="shared" si="0"/>
        <v> AHSB 7.3.177 </v>
      </c>
      <c r="B16" s="5" t="str">
        <f t="shared" si="1"/>
        <v>I</v>
      </c>
      <c r="C16" s="11">
        <f t="shared" si="2"/>
        <v>31846.37</v>
      </c>
      <c r="D16" s="20" t="str">
        <f t="shared" si="3"/>
        <v>vis</v>
      </c>
      <c r="E16" s="54">
        <f>VLOOKUP(C16,A!C$21:E$967,3,FALSE)</f>
        <v>-149.00601751442326</v>
      </c>
      <c r="F16" s="5" t="s">
        <v>62</v>
      </c>
      <c r="G16" s="20" t="str">
        <f t="shared" si="4"/>
        <v>31846.370</v>
      </c>
      <c r="H16" s="11">
        <f t="shared" si="5"/>
        <v>-149</v>
      </c>
      <c r="I16" s="55" t="s">
        <v>83</v>
      </c>
      <c r="J16" s="56" t="s">
        <v>84</v>
      </c>
      <c r="K16" s="55">
        <v>-149</v>
      </c>
      <c r="L16" s="55" t="s">
        <v>76</v>
      </c>
      <c r="M16" s="56" t="s">
        <v>68</v>
      </c>
      <c r="N16" s="56"/>
      <c r="O16" s="57" t="s">
        <v>69</v>
      </c>
      <c r="P16" s="57" t="s">
        <v>70</v>
      </c>
    </row>
    <row r="17" spans="1:16" ht="12.75" customHeight="1" thickBot="1">
      <c r="A17" s="11" t="str">
        <f t="shared" si="0"/>
        <v> AHSB 7.3.177 </v>
      </c>
      <c r="B17" s="5" t="str">
        <f t="shared" si="1"/>
        <v>I</v>
      </c>
      <c r="C17" s="11">
        <f t="shared" si="2"/>
        <v>31911.33</v>
      </c>
      <c r="D17" s="20" t="str">
        <f t="shared" si="3"/>
        <v>vis</v>
      </c>
      <c r="E17" s="54">
        <f>VLOOKUP(C17,A!C$21:E$967,3,FALSE)</f>
        <v>-123.9925645046542</v>
      </c>
      <c r="F17" s="5" t="s">
        <v>62</v>
      </c>
      <c r="G17" s="20" t="str">
        <f t="shared" si="4"/>
        <v>31911.330</v>
      </c>
      <c r="H17" s="11">
        <f t="shared" si="5"/>
        <v>-124</v>
      </c>
      <c r="I17" s="55" t="s">
        <v>85</v>
      </c>
      <c r="J17" s="56" t="s">
        <v>86</v>
      </c>
      <c r="K17" s="55">
        <v>-124</v>
      </c>
      <c r="L17" s="55" t="s">
        <v>87</v>
      </c>
      <c r="M17" s="56" t="s">
        <v>68</v>
      </c>
      <c r="N17" s="56"/>
      <c r="O17" s="57" t="s">
        <v>69</v>
      </c>
      <c r="P17" s="57" t="s">
        <v>70</v>
      </c>
    </row>
    <row r="18" spans="1:16" ht="12.75" customHeight="1" thickBot="1">
      <c r="A18" s="11" t="str">
        <f t="shared" si="0"/>
        <v> AHSB 7.3.177 </v>
      </c>
      <c r="B18" s="5" t="str">
        <f t="shared" si="1"/>
        <v>I</v>
      </c>
      <c r="C18" s="11">
        <f t="shared" si="2"/>
        <v>32233.34</v>
      </c>
      <c r="D18" s="20" t="str">
        <f t="shared" si="3"/>
        <v>vis</v>
      </c>
      <c r="E18" s="54">
        <f>VLOOKUP(C18,A!C$21:E$967,3,FALSE)</f>
        <v>0.0003850593136524616</v>
      </c>
      <c r="F18" s="5" t="s">
        <v>62</v>
      </c>
      <c r="G18" s="20" t="str">
        <f t="shared" si="4"/>
        <v>32233.340</v>
      </c>
      <c r="H18" s="11">
        <f t="shared" si="5"/>
        <v>0</v>
      </c>
      <c r="I18" s="55" t="s">
        <v>88</v>
      </c>
      <c r="J18" s="56" t="s">
        <v>89</v>
      </c>
      <c r="K18" s="55">
        <v>0</v>
      </c>
      <c r="L18" s="55" t="s">
        <v>90</v>
      </c>
      <c r="M18" s="56" t="s">
        <v>68</v>
      </c>
      <c r="N18" s="56"/>
      <c r="O18" s="57" t="s">
        <v>69</v>
      </c>
      <c r="P18" s="57" t="s">
        <v>70</v>
      </c>
    </row>
    <row r="19" spans="1:16" ht="12.75" customHeight="1" thickBot="1">
      <c r="A19" s="11" t="str">
        <f t="shared" si="0"/>
        <v> AHSB 7.3.177 </v>
      </c>
      <c r="B19" s="5" t="str">
        <f t="shared" si="1"/>
        <v>I</v>
      </c>
      <c r="C19" s="11">
        <f t="shared" si="2"/>
        <v>32916.34</v>
      </c>
      <c r="D19" s="20" t="str">
        <f t="shared" si="3"/>
        <v>vis</v>
      </c>
      <c r="E19" s="54">
        <f>VLOOKUP(C19,A!C$21:E$967,3,FALSE)</f>
        <v>262.9958962303643</v>
      </c>
      <c r="F19" s="5" t="s">
        <v>62</v>
      </c>
      <c r="G19" s="20" t="str">
        <f t="shared" si="4"/>
        <v>32916.340</v>
      </c>
      <c r="H19" s="11">
        <f t="shared" si="5"/>
        <v>263</v>
      </c>
      <c r="I19" s="55" t="s">
        <v>91</v>
      </c>
      <c r="J19" s="56" t="s">
        <v>92</v>
      </c>
      <c r="K19" s="55">
        <v>263</v>
      </c>
      <c r="L19" s="55" t="s">
        <v>79</v>
      </c>
      <c r="M19" s="56" t="s">
        <v>68</v>
      </c>
      <c r="N19" s="56"/>
      <c r="O19" s="57" t="s">
        <v>69</v>
      </c>
      <c r="P19" s="57" t="s">
        <v>70</v>
      </c>
    </row>
    <row r="20" spans="1:16" ht="12.75" customHeight="1" thickBot="1">
      <c r="A20" s="11" t="str">
        <f t="shared" si="0"/>
        <v> AHSB 7.3.177 </v>
      </c>
      <c r="B20" s="5" t="str">
        <f t="shared" si="1"/>
        <v>I</v>
      </c>
      <c r="C20" s="11">
        <f t="shared" si="2"/>
        <v>32947.52</v>
      </c>
      <c r="D20" s="20" t="str">
        <f t="shared" si="3"/>
        <v>vis</v>
      </c>
      <c r="E20" s="54">
        <f>VLOOKUP(C20,A!C$21:E$967,3,FALSE)</f>
        <v>275.0020456276022</v>
      </c>
      <c r="F20" s="5" t="s">
        <v>62</v>
      </c>
      <c r="G20" s="20" t="str">
        <f t="shared" si="4"/>
        <v>32947.520</v>
      </c>
      <c r="H20" s="11">
        <f t="shared" si="5"/>
        <v>275</v>
      </c>
      <c r="I20" s="55" t="s">
        <v>93</v>
      </c>
      <c r="J20" s="56" t="s">
        <v>94</v>
      </c>
      <c r="K20" s="55">
        <v>275</v>
      </c>
      <c r="L20" s="55" t="s">
        <v>95</v>
      </c>
      <c r="M20" s="56" t="s">
        <v>68</v>
      </c>
      <c r="N20" s="56"/>
      <c r="O20" s="57" t="s">
        <v>69</v>
      </c>
      <c r="P20" s="57" t="s">
        <v>70</v>
      </c>
    </row>
    <row r="21" spans="1:16" ht="12.75" customHeight="1" thickBot="1">
      <c r="A21" s="11" t="str">
        <f t="shared" si="0"/>
        <v> AHSB 7.3.177 </v>
      </c>
      <c r="B21" s="5" t="str">
        <f t="shared" si="1"/>
        <v>II</v>
      </c>
      <c r="C21" s="11">
        <f t="shared" si="2"/>
        <v>34086.28</v>
      </c>
      <c r="D21" s="20" t="str">
        <f t="shared" si="3"/>
        <v>vis</v>
      </c>
      <c r="E21" s="54">
        <f>VLOOKUP(C21,A!C$21:E$967,3,FALSE)</f>
        <v>713.4921895531479</v>
      </c>
      <c r="F21" s="5" t="s">
        <v>62</v>
      </c>
      <c r="G21" s="20" t="str">
        <f t="shared" si="4"/>
        <v>34086.280</v>
      </c>
      <c r="H21" s="11">
        <f t="shared" si="5"/>
        <v>713.5</v>
      </c>
      <c r="I21" s="55" t="s">
        <v>96</v>
      </c>
      <c r="J21" s="56" t="s">
        <v>97</v>
      </c>
      <c r="K21" s="55">
        <v>713.5</v>
      </c>
      <c r="L21" s="55" t="s">
        <v>98</v>
      </c>
      <c r="M21" s="56" t="s">
        <v>68</v>
      </c>
      <c r="N21" s="56"/>
      <c r="O21" s="57" t="s">
        <v>69</v>
      </c>
      <c r="P21" s="57" t="s">
        <v>70</v>
      </c>
    </row>
    <row r="22" spans="1:16" ht="12.75" customHeight="1" thickBot="1">
      <c r="A22" s="11" t="str">
        <f t="shared" si="0"/>
        <v> AHSB 7.3.177 </v>
      </c>
      <c r="B22" s="5" t="str">
        <f t="shared" si="1"/>
        <v>II</v>
      </c>
      <c r="C22" s="11">
        <f t="shared" si="2"/>
        <v>34356.34</v>
      </c>
      <c r="D22" s="20" t="str">
        <f t="shared" si="3"/>
        <v>vis</v>
      </c>
      <c r="E22" s="54">
        <f>VLOOKUP(C22,A!C$21:E$967,3,FALSE)</f>
        <v>817.4813077769454</v>
      </c>
      <c r="F22" s="5" t="s">
        <v>62</v>
      </c>
      <c r="G22" s="20" t="str">
        <f t="shared" si="4"/>
        <v>34356.340</v>
      </c>
      <c r="H22" s="11">
        <f t="shared" si="5"/>
        <v>817.5</v>
      </c>
      <c r="I22" s="55" t="s">
        <v>99</v>
      </c>
      <c r="J22" s="56" t="s">
        <v>100</v>
      </c>
      <c r="K22" s="55">
        <v>817.5</v>
      </c>
      <c r="L22" s="55" t="s">
        <v>101</v>
      </c>
      <c r="M22" s="56" t="s">
        <v>68</v>
      </c>
      <c r="N22" s="56"/>
      <c r="O22" s="57" t="s">
        <v>69</v>
      </c>
      <c r="P22" s="57" t="s">
        <v>70</v>
      </c>
    </row>
    <row r="23" spans="1:16" ht="12.75" customHeight="1" thickBot="1">
      <c r="A23" s="11" t="str">
        <f t="shared" si="0"/>
        <v> AHSB 7.3.177 </v>
      </c>
      <c r="B23" s="5" t="str">
        <f t="shared" si="1"/>
        <v>I</v>
      </c>
      <c r="C23" s="11">
        <f t="shared" si="2"/>
        <v>34417.39</v>
      </c>
      <c r="D23" s="20" t="str">
        <f t="shared" si="3"/>
        <v>vis</v>
      </c>
      <c r="E23" s="54">
        <f>VLOOKUP(C23,A!C$21:E$967,3,FALSE)</f>
        <v>840.9891788706401</v>
      </c>
      <c r="F23" s="5" t="s">
        <v>62</v>
      </c>
      <c r="G23" s="20" t="str">
        <f t="shared" si="4"/>
        <v>34417.390</v>
      </c>
      <c r="H23" s="11">
        <f t="shared" si="5"/>
        <v>841</v>
      </c>
      <c r="I23" s="55" t="s">
        <v>102</v>
      </c>
      <c r="J23" s="56" t="s">
        <v>103</v>
      </c>
      <c r="K23" s="55">
        <v>841</v>
      </c>
      <c r="L23" s="55" t="s">
        <v>104</v>
      </c>
      <c r="M23" s="56" t="s">
        <v>68</v>
      </c>
      <c r="N23" s="56"/>
      <c r="O23" s="57" t="s">
        <v>69</v>
      </c>
      <c r="P23" s="57" t="s">
        <v>70</v>
      </c>
    </row>
    <row r="24" spans="1:16" ht="12.75" customHeight="1" thickBot="1">
      <c r="A24" s="11" t="str">
        <f t="shared" si="0"/>
        <v> AHSB 7.3.177 </v>
      </c>
      <c r="B24" s="5" t="str">
        <f t="shared" si="1"/>
        <v>II</v>
      </c>
      <c r="C24" s="11">
        <f t="shared" si="2"/>
        <v>34769.28</v>
      </c>
      <c r="D24" s="20" t="str">
        <f t="shared" si="3"/>
        <v>vis</v>
      </c>
      <c r="E24" s="54">
        <f>VLOOKUP(C24,A!C$21:E$967,3,FALSE)</f>
        <v>976.4877007242</v>
      </c>
      <c r="F24" s="5" t="s">
        <v>62</v>
      </c>
      <c r="G24" s="20" t="str">
        <f t="shared" si="4"/>
        <v>34769.280</v>
      </c>
      <c r="H24" s="11">
        <f t="shared" si="5"/>
        <v>976.5</v>
      </c>
      <c r="I24" s="55" t="s">
        <v>105</v>
      </c>
      <c r="J24" s="56" t="s">
        <v>106</v>
      </c>
      <c r="K24" s="55">
        <v>976.5</v>
      </c>
      <c r="L24" s="55" t="s">
        <v>107</v>
      </c>
      <c r="M24" s="56" t="s">
        <v>68</v>
      </c>
      <c r="N24" s="56"/>
      <c r="O24" s="57" t="s">
        <v>69</v>
      </c>
      <c r="P24" s="57" t="s">
        <v>70</v>
      </c>
    </row>
    <row r="25" spans="1:16" ht="12.75" customHeight="1" thickBot="1">
      <c r="A25" s="11" t="str">
        <f t="shared" si="0"/>
        <v> AHSB 7.3.177 </v>
      </c>
      <c r="B25" s="5" t="str">
        <f t="shared" si="1"/>
        <v>I</v>
      </c>
      <c r="C25" s="11">
        <f t="shared" si="2"/>
        <v>34770.59</v>
      </c>
      <c r="D25" s="20" t="str">
        <f t="shared" si="3"/>
        <v>vis</v>
      </c>
      <c r="E25" s="54">
        <f>VLOOKUP(C25,A!C$21:E$967,3,FALSE)</f>
        <v>976.9921284249809</v>
      </c>
      <c r="F25" s="5" t="s">
        <v>62</v>
      </c>
      <c r="G25" s="20" t="str">
        <f t="shared" si="4"/>
        <v>34770.590</v>
      </c>
      <c r="H25" s="11">
        <f t="shared" si="5"/>
        <v>977</v>
      </c>
      <c r="I25" s="55" t="s">
        <v>108</v>
      </c>
      <c r="J25" s="56" t="s">
        <v>109</v>
      </c>
      <c r="K25" s="55">
        <v>977</v>
      </c>
      <c r="L25" s="55" t="s">
        <v>98</v>
      </c>
      <c r="M25" s="56" t="s">
        <v>68</v>
      </c>
      <c r="N25" s="56"/>
      <c r="O25" s="57" t="s">
        <v>69</v>
      </c>
      <c r="P25" s="57" t="s">
        <v>70</v>
      </c>
    </row>
    <row r="26" spans="1:16" ht="12.75" customHeight="1" thickBot="1">
      <c r="A26" s="11" t="str">
        <f t="shared" si="0"/>
        <v> AHSB 7.3.177 </v>
      </c>
      <c r="B26" s="5" t="str">
        <f t="shared" si="1"/>
        <v>I</v>
      </c>
      <c r="C26" s="11">
        <f t="shared" si="2"/>
        <v>34778.37</v>
      </c>
      <c r="D26" s="20" t="str">
        <f t="shared" si="3"/>
        <v>vis</v>
      </c>
      <c r="E26" s="54">
        <f>VLOOKUP(C26,A!C$21:E$967,3,FALSE)</f>
        <v>979.9878898845892</v>
      </c>
      <c r="F26" s="5" t="s">
        <v>62</v>
      </c>
      <c r="G26" s="20" t="str">
        <f t="shared" si="4"/>
        <v>34778.370</v>
      </c>
      <c r="H26" s="11">
        <f t="shared" si="5"/>
        <v>980</v>
      </c>
      <c r="I26" s="55" t="s">
        <v>110</v>
      </c>
      <c r="J26" s="56" t="s">
        <v>111</v>
      </c>
      <c r="K26" s="55">
        <v>980</v>
      </c>
      <c r="L26" s="55" t="s">
        <v>112</v>
      </c>
      <c r="M26" s="56" t="s">
        <v>68</v>
      </c>
      <c r="N26" s="56"/>
      <c r="O26" s="57" t="s">
        <v>69</v>
      </c>
      <c r="P26" s="57" t="s">
        <v>70</v>
      </c>
    </row>
    <row r="27" spans="1:16" ht="12.75" customHeight="1" thickBot="1">
      <c r="A27" s="11" t="str">
        <f t="shared" si="0"/>
        <v> AHSB 7.3.177 </v>
      </c>
      <c r="B27" s="5" t="str">
        <f t="shared" si="1"/>
        <v>II</v>
      </c>
      <c r="C27" s="11">
        <f t="shared" si="2"/>
        <v>35044.605</v>
      </c>
      <c r="D27" s="20" t="str">
        <f t="shared" si="3"/>
        <v>vis</v>
      </c>
      <c r="E27" s="54">
        <f>VLOOKUP(C27,A!C$21:E$967,3,FALSE)</f>
        <v>1082.5041562339673</v>
      </c>
      <c r="F27" s="5" t="s">
        <v>62</v>
      </c>
      <c r="G27" s="20" t="str">
        <f t="shared" si="4"/>
        <v>35044.605</v>
      </c>
      <c r="H27" s="11">
        <f t="shared" si="5"/>
        <v>1082.5</v>
      </c>
      <c r="I27" s="55" t="s">
        <v>113</v>
      </c>
      <c r="J27" s="56" t="s">
        <v>114</v>
      </c>
      <c r="K27" s="55">
        <v>1082.5</v>
      </c>
      <c r="L27" s="55" t="s">
        <v>82</v>
      </c>
      <c r="M27" s="56" t="s">
        <v>68</v>
      </c>
      <c r="N27" s="56"/>
      <c r="O27" s="57" t="s">
        <v>69</v>
      </c>
      <c r="P27" s="57" t="s">
        <v>70</v>
      </c>
    </row>
    <row r="28" spans="1:16" ht="12.75" customHeight="1" thickBot="1">
      <c r="A28" s="11" t="str">
        <f t="shared" si="0"/>
        <v> AHSB 7.3.177 </v>
      </c>
      <c r="B28" s="5" t="str">
        <f t="shared" si="1"/>
        <v>I</v>
      </c>
      <c r="C28" s="11">
        <f t="shared" si="2"/>
        <v>35131.58</v>
      </c>
      <c r="D28" s="20" t="str">
        <f t="shared" si="3"/>
        <v>vis</v>
      </c>
      <c r="E28" s="54">
        <f>VLOOKUP(C28,A!C$21:E$967,3,FALSE)</f>
        <v>1115.9946900320665</v>
      </c>
      <c r="F28" s="5" t="s">
        <v>62</v>
      </c>
      <c r="G28" s="20" t="str">
        <f t="shared" si="4"/>
        <v>35131.580</v>
      </c>
      <c r="H28" s="11">
        <f t="shared" si="5"/>
        <v>1116</v>
      </c>
      <c r="I28" s="55" t="s">
        <v>115</v>
      </c>
      <c r="J28" s="56" t="s">
        <v>116</v>
      </c>
      <c r="K28" s="55">
        <v>1116</v>
      </c>
      <c r="L28" s="55" t="s">
        <v>117</v>
      </c>
      <c r="M28" s="56" t="s">
        <v>68</v>
      </c>
      <c r="N28" s="56"/>
      <c r="O28" s="57" t="s">
        <v>69</v>
      </c>
      <c r="P28" s="57" t="s">
        <v>70</v>
      </c>
    </row>
    <row r="29" spans="1:16" ht="12.75" customHeight="1" thickBot="1">
      <c r="A29" s="11" t="str">
        <f t="shared" si="0"/>
        <v> AHSB 7.3.177 </v>
      </c>
      <c r="B29" s="5" t="str">
        <f t="shared" si="1"/>
        <v>II</v>
      </c>
      <c r="C29" s="11">
        <f t="shared" si="2"/>
        <v>35161.515</v>
      </c>
      <c r="D29" s="20" t="str">
        <f t="shared" si="3"/>
        <v>vis</v>
      </c>
      <c r="E29" s="54">
        <f>VLOOKUP(C29,A!C$21:E$967,3,FALSE)</f>
        <v>1127.5214405839038</v>
      </c>
      <c r="F29" s="5" t="s">
        <v>62</v>
      </c>
      <c r="G29" s="20" t="str">
        <f t="shared" si="4"/>
        <v>35161.515</v>
      </c>
      <c r="H29" s="11">
        <f t="shared" si="5"/>
        <v>1127.5</v>
      </c>
      <c r="I29" s="55" t="s">
        <v>118</v>
      </c>
      <c r="J29" s="56" t="s">
        <v>119</v>
      </c>
      <c r="K29" s="55">
        <v>1127.5</v>
      </c>
      <c r="L29" s="55" t="s">
        <v>120</v>
      </c>
      <c r="M29" s="56" t="s">
        <v>68</v>
      </c>
      <c r="N29" s="56"/>
      <c r="O29" s="57" t="s">
        <v>69</v>
      </c>
      <c r="P29" s="57" t="s">
        <v>70</v>
      </c>
    </row>
    <row r="30" spans="1:16" ht="12.75" customHeight="1" thickBot="1">
      <c r="A30" s="11" t="str">
        <f t="shared" si="0"/>
        <v> AHSB 7.3.177 </v>
      </c>
      <c r="B30" s="5" t="str">
        <f t="shared" si="1"/>
        <v>I</v>
      </c>
      <c r="C30" s="11">
        <f t="shared" si="2"/>
        <v>35165.36</v>
      </c>
      <c r="D30" s="20" t="str">
        <f t="shared" si="3"/>
        <v>vis</v>
      </c>
      <c r="E30" s="54">
        <f>VLOOKUP(C30,A!C$21:E$967,3,FALSE)</f>
        <v>1129.0019936445963</v>
      </c>
      <c r="F30" s="5" t="s">
        <v>62</v>
      </c>
      <c r="G30" s="20" t="str">
        <f t="shared" si="4"/>
        <v>35165.360</v>
      </c>
      <c r="H30" s="11">
        <f t="shared" si="5"/>
        <v>1129</v>
      </c>
      <c r="I30" s="55" t="s">
        <v>121</v>
      </c>
      <c r="J30" s="56" t="s">
        <v>122</v>
      </c>
      <c r="K30" s="55">
        <v>1129</v>
      </c>
      <c r="L30" s="55" t="s">
        <v>95</v>
      </c>
      <c r="M30" s="56" t="s">
        <v>68</v>
      </c>
      <c r="N30" s="56"/>
      <c r="O30" s="57" t="s">
        <v>69</v>
      </c>
      <c r="P30" s="57" t="s">
        <v>70</v>
      </c>
    </row>
    <row r="31" spans="1:16" ht="12.75" customHeight="1" thickBot="1">
      <c r="A31" s="11" t="str">
        <f t="shared" si="0"/>
        <v> AHSB 7.3.177 </v>
      </c>
      <c r="B31" s="5" t="str">
        <f t="shared" si="1"/>
        <v>I</v>
      </c>
      <c r="C31" s="11">
        <f t="shared" si="2"/>
        <v>35453.635</v>
      </c>
      <c r="D31" s="20" t="str">
        <f t="shared" si="3"/>
        <v>vis</v>
      </c>
      <c r="E31" s="54">
        <f>VLOOKUP(C31,A!C$21:E$967,3,FALSE)</f>
        <v>1240.004967265146</v>
      </c>
      <c r="F31" s="5" t="s">
        <v>62</v>
      </c>
      <c r="G31" s="20" t="str">
        <f t="shared" si="4"/>
        <v>35453.635</v>
      </c>
      <c r="H31" s="11">
        <f t="shared" si="5"/>
        <v>1240</v>
      </c>
      <c r="I31" s="55" t="s">
        <v>123</v>
      </c>
      <c r="J31" s="56" t="s">
        <v>124</v>
      </c>
      <c r="K31" s="55">
        <v>1240</v>
      </c>
      <c r="L31" s="55" t="s">
        <v>125</v>
      </c>
      <c r="M31" s="56" t="s">
        <v>68</v>
      </c>
      <c r="N31" s="56"/>
      <c r="O31" s="57" t="s">
        <v>69</v>
      </c>
      <c r="P31" s="57" t="s">
        <v>70</v>
      </c>
    </row>
    <row r="32" spans="1:16" ht="12.75" customHeight="1" thickBot="1">
      <c r="A32" s="11" t="str">
        <f t="shared" si="0"/>
        <v> AHSB 7.3.177 </v>
      </c>
      <c r="B32" s="5" t="str">
        <f t="shared" si="1"/>
        <v>I</v>
      </c>
      <c r="C32" s="11">
        <f t="shared" si="2"/>
        <v>36253.51</v>
      </c>
      <c r="D32" s="20" t="str">
        <f t="shared" si="3"/>
        <v>vis</v>
      </c>
      <c r="E32" s="54">
        <f>VLOOKUP(C32,A!C$21:E$967,3,FALSE)</f>
        <v>1548.004285710161</v>
      </c>
      <c r="F32" s="5" t="s">
        <v>62</v>
      </c>
      <c r="G32" s="20" t="str">
        <f t="shared" si="4"/>
        <v>36253.510</v>
      </c>
      <c r="H32" s="11">
        <f t="shared" si="5"/>
        <v>1548</v>
      </c>
      <c r="I32" s="55" t="s">
        <v>126</v>
      </c>
      <c r="J32" s="56" t="s">
        <v>127</v>
      </c>
      <c r="K32" s="55">
        <v>1548</v>
      </c>
      <c r="L32" s="55" t="s">
        <v>82</v>
      </c>
      <c r="M32" s="56" t="s">
        <v>68</v>
      </c>
      <c r="N32" s="56"/>
      <c r="O32" s="57" t="s">
        <v>69</v>
      </c>
      <c r="P32" s="57" t="s">
        <v>70</v>
      </c>
    </row>
    <row r="33" spans="1:16" ht="12.75" customHeight="1" thickBot="1">
      <c r="A33" s="11" t="str">
        <f t="shared" si="0"/>
        <v> AHSB 7.3.177 </v>
      </c>
      <c r="B33" s="5" t="str">
        <f t="shared" si="1"/>
        <v>I</v>
      </c>
      <c r="C33" s="11">
        <f t="shared" si="2"/>
        <v>36983.25</v>
      </c>
      <c r="D33" s="20" t="str">
        <f t="shared" si="3"/>
        <v>vis</v>
      </c>
      <c r="E33" s="54">
        <f>VLOOKUP(C33,A!C$21:E$967,3,FALSE)</f>
        <v>1828.9974691976615</v>
      </c>
      <c r="F33" s="5" t="s">
        <v>62</v>
      </c>
      <c r="G33" s="20" t="str">
        <f t="shared" si="4"/>
        <v>36983.250</v>
      </c>
      <c r="H33" s="11">
        <f t="shared" si="5"/>
        <v>1829</v>
      </c>
      <c r="I33" s="55" t="s">
        <v>128</v>
      </c>
      <c r="J33" s="56" t="s">
        <v>129</v>
      </c>
      <c r="K33" s="55">
        <v>1829</v>
      </c>
      <c r="L33" s="55" t="s">
        <v>130</v>
      </c>
      <c r="M33" s="56" t="s">
        <v>68</v>
      </c>
      <c r="N33" s="56"/>
      <c r="O33" s="57" t="s">
        <v>69</v>
      </c>
      <c r="P33" s="57" t="s">
        <v>70</v>
      </c>
    </row>
    <row r="34" spans="1:16" ht="12.75" customHeight="1" thickBot="1">
      <c r="A34" s="11" t="str">
        <f t="shared" si="0"/>
        <v>IBVS 5592 </v>
      </c>
      <c r="B34" s="5" t="str">
        <f t="shared" si="1"/>
        <v>I</v>
      </c>
      <c r="C34" s="11">
        <f t="shared" si="2"/>
        <v>53056.1414</v>
      </c>
      <c r="D34" s="20" t="str">
        <f t="shared" si="3"/>
        <v>vis</v>
      </c>
      <c r="E34" s="54">
        <f>VLOOKUP(C34,A!C$21:E$967,3,FALSE)</f>
        <v>8018.013998831346</v>
      </c>
      <c r="F34" s="5" t="s">
        <v>62</v>
      </c>
      <c r="G34" s="20" t="str">
        <f t="shared" si="4"/>
        <v>53056.1414</v>
      </c>
      <c r="H34" s="11">
        <f t="shared" si="5"/>
        <v>8018</v>
      </c>
      <c r="I34" s="55" t="s">
        <v>158</v>
      </c>
      <c r="J34" s="56" t="s">
        <v>159</v>
      </c>
      <c r="K34" s="55">
        <v>8018</v>
      </c>
      <c r="L34" s="55" t="s">
        <v>160</v>
      </c>
      <c r="M34" s="56" t="s">
        <v>139</v>
      </c>
      <c r="N34" s="56" t="s">
        <v>140</v>
      </c>
      <c r="O34" s="57" t="s">
        <v>161</v>
      </c>
      <c r="P34" s="58" t="s">
        <v>162</v>
      </c>
    </row>
    <row r="35" spans="1:16" ht="12.75" customHeight="1" thickBot="1">
      <c r="A35" s="11" t="str">
        <f t="shared" si="0"/>
        <v>IBVS 6007 </v>
      </c>
      <c r="B35" s="5" t="str">
        <f t="shared" si="1"/>
        <v>I</v>
      </c>
      <c r="C35" s="11">
        <f t="shared" si="2"/>
        <v>54531.26083</v>
      </c>
      <c r="D35" s="20" t="str">
        <f t="shared" si="3"/>
        <v>vis</v>
      </c>
      <c r="E35" s="54">
        <f>VLOOKUP(C35,A!C$21:E$967,3,FALSE)</f>
        <v>8586.022473986837</v>
      </c>
      <c r="F35" s="5" t="s">
        <v>62</v>
      </c>
      <c r="G35" s="20" t="str">
        <f t="shared" si="4"/>
        <v>54531.26083</v>
      </c>
      <c r="H35" s="11">
        <f t="shared" si="5"/>
        <v>8586</v>
      </c>
      <c r="I35" s="55" t="s">
        <v>163</v>
      </c>
      <c r="J35" s="56" t="s">
        <v>164</v>
      </c>
      <c r="K35" s="55">
        <v>8586</v>
      </c>
      <c r="L35" s="55" t="s">
        <v>165</v>
      </c>
      <c r="M35" s="56" t="s">
        <v>166</v>
      </c>
      <c r="N35" s="56" t="s">
        <v>167</v>
      </c>
      <c r="O35" s="57" t="s">
        <v>168</v>
      </c>
      <c r="P35" s="58" t="s">
        <v>169</v>
      </c>
    </row>
    <row r="36" spans="1:16" ht="12.75" customHeight="1" thickBot="1">
      <c r="A36" s="11" t="str">
        <f t="shared" si="0"/>
        <v>BAVM 209 </v>
      </c>
      <c r="B36" s="5" t="str">
        <f t="shared" si="1"/>
        <v>II</v>
      </c>
      <c r="C36" s="11">
        <f t="shared" si="2"/>
        <v>54841.5516</v>
      </c>
      <c r="D36" s="20" t="str">
        <f t="shared" si="3"/>
        <v>vis</v>
      </c>
      <c r="E36" s="54">
        <f>VLOOKUP(C36,A!C$21:E$967,3,FALSE)</f>
        <v>8705.50282489139</v>
      </c>
      <c r="F36" s="5" t="s">
        <v>62</v>
      </c>
      <c r="G36" s="20" t="str">
        <f t="shared" si="4"/>
        <v>54841.5516</v>
      </c>
      <c r="H36" s="11">
        <f t="shared" si="5"/>
        <v>8705.5</v>
      </c>
      <c r="I36" s="55" t="s">
        <v>170</v>
      </c>
      <c r="J36" s="56" t="s">
        <v>171</v>
      </c>
      <c r="K36" s="55">
        <v>8705.5</v>
      </c>
      <c r="L36" s="55" t="s">
        <v>172</v>
      </c>
      <c r="M36" s="56" t="s">
        <v>166</v>
      </c>
      <c r="N36" s="56" t="s">
        <v>173</v>
      </c>
      <c r="O36" s="57" t="s">
        <v>174</v>
      </c>
      <c r="P36" s="58" t="s">
        <v>175</v>
      </c>
    </row>
    <row r="37" spans="1:16" ht="12.75" customHeight="1" thickBot="1">
      <c r="A37" s="11" t="str">
        <f t="shared" si="0"/>
        <v>BAVM 228 </v>
      </c>
      <c r="B37" s="5" t="str">
        <f t="shared" si="1"/>
        <v>I</v>
      </c>
      <c r="C37" s="11">
        <f t="shared" si="2"/>
        <v>55980.4014</v>
      </c>
      <c r="D37" s="20" t="str">
        <f t="shared" si="3"/>
        <v>vis</v>
      </c>
      <c r="E37" s="54">
        <f>VLOOKUP(C37,A!C$21:E$967,3,FALSE)</f>
        <v>9144.027547143294</v>
      </c>
      <c r="F37" s="5" t="s">
        <v>62</v>
      </c>
      <c r="G37" s="20" t="str">
        <f t="shared" si="4"/>
        <v>55980.4014</v>
      </c>
      <c r="H37" s="11">
        <f t="shared" si="5"/>
        <v>9144</v>
      </c>
      <c r="I37" s="55" t="s">
        <v>176</v>
      </c>
      <c r="J37" s="56" t="s">
        <v>177</v>
      </c>
      <c r="K37" s="55" t="s">
        <v>178</v>
      </c>
      <c r="L37" s="55" t="s">
        <v>179</v>
      </c>
      <c r="M37" s="56" t="s">
        <v>166</v>
      </c>
      <c r="N37" s="56" t="s">
        <v>173</v>
      </c>
      <c r="O37" s="57" t="s">
        <v>174</v>
      </c>
      <c r="P37" s="58" t="s">
        <v>180</v>
      </c>
    </row>
    <row r="38" spans="1:16" ht="12.75" customHeight="1" thickBot="1">
      <c r="A38" s="11" t="str">
        <f t="shared" si="0"/>
        <v>BAVM 179 </v>
      </c>
      <c r="B38" s="5" t="str">
        <f t="shared" si="1"/>
        <v>I</v>
      </c>
      <c r="C38" s="11">
        <f t="shared" si="2"/>
        <v>47176.384</v>
      </c>
      <c r="D38" s="20" t="str">
        <f t="shared" si="3"/>
        <v>vis</v>
      </c>
      <c r="E38" s="54">
        <f>VLOOKUP(C38,A!C$21:E$967,3,FALSE)</f>
        <v>5753.9586504056115</v>
      </c>
      <c r="F38" s="5" t="s">
        <v>62</v>
      </c>
      <c r="G38" s="20" t="str">
        <f t="shared" si="4"/>
        <v>47176.384</v>
      </c>
      <c r="H38" s="11">
        <f t="shared" si="5"/>
        <v>5754</v>
      </c>
      <c r="I38" s="55" t="s">
        <v>131</v>
      </c>
      <c r="J38" s="56" t="s">
        <v>132</v>
      </c>
      <c r="K38" s="55">
        <v>5754</v>
      </c>
      <c r="L38" s="55" t="s">
        <v>133</v>
      </c>
      <c r="M38" s="56" t="s">
        <v>64</v>
      </c>
      <c r="N38" s="56"/>
      <c r="O38" s="57" t="s">
        <v>134</v>
      </c>
      <c r="P38" s="58" t="s">
        <v>135</v>
      </c>
    </row>
    <row r="39" spans="1:16" ht="12.75" customHeight="1" thickBot="1">
      <c r="A39" s="11" t="str">
        <f t="shared" si="0"/>
        <v>IBVS 5507 </v>
      </c>
      <c r="B39" s="5" t="str">
        <f t="shared" si="1"/>
        <v>II</v>
      </c>
      <c r="C39" s="11">
        <f t="shared" si="2"/>
        <v>51114.8896</v>
      </c>
      <c r="D39" s="20" t="str">
        <f t="shared" si="3"/>
        <v>vis</v>
      </c>
      <c r="E39" s="54" t="e">
        <f>VLOOKUP(C39,A!C$21:E$967,3,FALSE)</f>
        <v>#N/A</v>
      </c>
      <c r="F39" s="5" t="s">
        <v>62</v>
      </c>
      <c r="G39" s="20" t="str">
        <f t="shared" si="4"/>
        <v>51114.8896</v>
      </c>
      <c r="H39" s="11">
        <f t="shared" si="5"/>
        <v>7270.5</v>
      </c>
      <c r="I39" s="55" t="s">
        <v>136</v>
      </c>
      <c r="J39" s="56" t="s">
        <v>137</v>
      </c>
      <c r="K39" s="55">
        <v>7270.5</v>
      </c>
      <c r="L39" s="55" t="s">
        <v>138</v>
      </c>
      <c r="M39" s="56" t="s">
        <v>139</v>
      </c>
      <c r="N39" s="56" t="s">
        <v>140</v>
      </c>
      <c r="O39" s="57" t="s">
        <v>141</v>
      </c>
      <c r="P39" s="58" t="s">
        <v>142</v>
      </c>
    </row>
    <row r="40" spans="1:16" ht="12.75" customHeight="1" thickBot="1">
      <c r="A40" s="11" t="str">
        <f t="shared" si="0"/>
        <v>IBVS 5507 </v>
      </c>
      <c r="B40" s="5" t="str">
        <f t="shared" si="1"/>
        <v>I</v>
      </c>
      <c r="C40" s="11">
        <f t="shared" si="2"/>
        <v>51116.1809</v>
      </c>
      <c r="D40" s="20" t="str">
        <f t="shared" si="3"/>
        <v>vis</v>
      </c>
      <c r="E40" s="54" t="e">
        <f>VLOOKUP(C40,A!C$21:E$967,3,FALSE)</f>
        <v>#N/A</v>
      </c>
      <c r="F40" s="5" t="s">
        <v>62</v>
      </c>
      <c r="G40" s="20" t="str">
        <f t="shared" si="4"/>
        <v>51116.1809</v>
      </c>
      <c r="H40" s="11">
        <f t="shared" si="5"/>
        <v>7271</v>
      </c>
      <c r="I40" s="55" t="s">
        <v>143</v>
      </c>
      <c r="J40" s="56" t="s">
        <v>144</v>
      </c>
      <c r="K40" s="55">
        <v>7271</v>
      </c>
      <c r="L40" s="55" t="s">
        <v>145</v>
      </c>
      <c r="M40" s="56" t="s">
        <v>139</v>
      </c>
      <c r="N40" s="56" t="s">
        <v>140</v>
      </c>
      <c r="O40" s="57" t="s">
        <v>141</v>
      </c>
      <c r="P40" s="58" t="s">
        <v>142</v>
      </c>
    </row>
    <row r="41" spans="1:16" ht="12.75" customHeight="1" thickBot="1">
      <c r="A41" s="11" t="str">
        <f t="shared" si="0"/>
        <v>IBVS 5507 </v>
      </c>
      <c r="B41" s="5" t="str">
        <f t="shared" si="1"/>
        <v>II</v>
      </c>
      <c r="C41" s="11">
        <f t="shared" si="2"/>
        <v>51200.5893</v>
      </c>
      <c r="D41" s="20" t="str">
        <f t="shared" si="3"/>
        <v>vis</v>
      </c>
      <c r="E41" s="54" t="e">
        <f>VLOOKUP(C41,A!C$21:E$967,3,FALSE)</f>
        <v>#N/A</v>
      </c>
      <c r="F41" s="5" t="s">
        <v>62</v>
      </c>
      <c r="G41" s="20" t="str">
        <f t="shared" si="4"/>
        <v>51200.5893</v>
      </c>
      <c r="H41" s="11">
        <f t="shared" si="5"/>
        <v>7303.5</v>
      </c>
      <c r="I41" s="55" t="s">
        <v>146</v>
      </c>
      <c r="J41" s="56" t="s">
        <v>147</v>
      </c>
      <c r="K41" s="55">
        <v>7303.5</v>
      </c>
      <c r="L41" s="55" t="s">
        <v>148</v>
      </c>
      <c r="M41" s="56" t="s">
        <v>139</v>
      </c>
      <c r="N41" s="56" t="s">
        <v>140</v>
      </c>
      <c r="O41" s="57" t="s">
        <v>141</v>
      </c>
      <c r="P41" s="58" t="s">
        <v>142</v>
      </c>
    </row>
    <row r="42" spans="1:16" ht="12.75" customHeight="1" thickBot="1">
      <c r="A42" s="11" t="str">
        <f t="shared" si="0"/>
        <v>IBVS 5507 </v>
      </c>
      <c r="B42" s="5" t="str">
        <f t="shared" si="1"/>
        <v>I</v>
      </c>
      <c r="C42" s="11">
        <f t="shared" si="2"/>
        <v>51201.8825</v>
      </c>
      <c r="D42" s="20" t="str">
        <f t="shared" si="3"/>
        <v>vis</v>
      </c>
      <c r="E42" s="54" t="e">
        <f>VLOOKUP(C42,A!C$21:E$967,3,FALSE)</f>
        <v>#N/A</v>
      </c>
      <c r="F42" s="5" t="s">
        <v>62</v>
      </c>
      <c r="G42" s="20" t="str">
        <f t="shared" si="4"/>
        <v>51201.8825</v>
      </c>
      <c r="H42" s="11">
        <f t="shared" si="5"/>
        <v>7304</v>
      </c>
      <c r="I42" s="55" t="s">
        <v>149</v>
      </c>
      <c r="J42" s="56" t="s">
        <v>150</v>
      </c>
      <c r="K42" s="55">
        <v>7304</v>
      </c>
      <c r="L42" s="55" t="s">
        <v>151</v>
      </c>
      <c r="M42" s="56" t="s">
        <v>139</v>
      </c>
      <c r="N42" s="56" t="s">
        <v>140</v>
      </c>
      <c r="O42" s="57" t="s">
        <v>141</v>
      </c>
      <c r="P42" s="58" t="s">
        <v>142</v>
      </c>
    </row>
    <row r="43" spans="1:16" ht="12.75" customHeight="1" thickBot="1">
      <c r="A43" s="11" t="str">
        <f t="shared" si="0"/>
        <v>IBVS 5507 </v>
      </c>
      <c r="B43" s="5" t="str">
        <f t="shared" si="1"/>
        <v>II</v>
      </c>
      <c r="C43" s="11">
        <f t="shared" si="2"/>
        <v>51501.8426</v>
      </c>
      <c r="D43" s="20" t="str">
        <f t="shared" si="3"/>
        <v>vis</v>
      </c>
      <c r="E43" s="54" t="e">
        <f>VLOOKUP(C43,A!C$21:E$967,3,FALSE)</f>
        <v>#N/A</v>
      </c>
      <c r="F43" s="5" t="s">
        <v>62</v>
      </c>
      <c r="G43" s="20" t="str">
        <f t="shared" si="4"/>
        <v>51501.8426</v>
      </c>
      <c r="H43" s="11">
        <f t="shared" si="5"/>
        <v>7419.5</v>
      </c>
      <c r="I43" s="55" t="s">
        <v>152</v>
      </c>
      <c r="J43" s="56" t="s">
        <v>153</v>
      </c>
      <c r="K43" s="55">
        <v>7419.5</v>
      </c>
      <c r="L43" s="55" t="s">
        <v>154</v>
      </c>
      <c r="M43" s="56" t="s">
        <v>139</v>
      </c>
      <c r="N43" s="56" t="s">
        <v>140</v>
      </c>
      <c r="O43" s="57" t="s">
        <v>141</v>
      </c>
      <c r="P43" s="58" t="s">
        <v>142</v>
      </c>
    </row>
    <row r="44" spans="1:16" ht="12.75" customHeight="1" thickBot="1">
      <c r="A44" s="11" t="str">
        <f t="shared" si="0"/>
        <v>IBVS 5507 </v>
      </c>
      <c r="B44" s="5" t="str">
        <f t="shared" si="1"/>
        <v>I</v>
      </c>
      <c r="C44" s="11">
        <f t="shared" si="2"/>
        <v>51503.1348</v>
      </c>
      <c r="D44" s="20" t="str">
        <f t="shared" si="3"/>
        <v>vis</v>
      </c>
      <c r="E44" s="54" t="e">
        <f>VLOOKUP(C44,A!C$21:E$967,3,FALSE)</f>
        <v>#N/A</v>
      </c>
      <c r="F44" s="5" t="s">
        <v>62</v>
      </c>
      <c r="G44" s="20" t="str">
        <f t="shared" si="4"/>
        <v>51503.1348</v>
      </c>
      <c r="H44" s="11">
        <f t="shared" si="5"/>
        <v>7420</v>
      </c>
      <c r="I44" s="55" t="s">
        <v>155</v>
      </c>
      <c r="J44" s="56" t="s">
        <v>156</v>
      </c>
      <c r="K44" s="55">
        <v>7420</v>
      </c>
      <c r="L44" s="55" t="s">
        <v>157</v>
      </c>
      <c r="M44" s="56" t="s">
        <v>139</v>
      </c>
      <c r="N44" s="56" t="s">
        <v>140</v>
      </c>
      <c r="O44" s="57" t="s">
        <v>141</v>
      </c>
      <c r="P44" s="58" t="s">
        <v>142</v>
      </c>
    </row>
    <row r="45" spans="2:6" ht="12.75">
      <c r="B45" s="5"/>
      <c r="E45" s="54"/>
      <c r="F45" s="5"/>
    </row>
    <row r="46" spans="2:6" ht="12.75">
      <c r="B46" s="5"/>
      <c r="E46" s="54"/>
      <c r="F46" s="5"/>
    </row>
    <row r="47" spans="2:6" ht="12.75">
      <c r="B47" s="5"/>
      <c r="E47" s="54"/>
      <c r="F47" s="5"/>
    </row>
    <row r="48" spans="2:6" ht="12.75">
      <c r="B48" s="5"/>
      <c r="E48" s="54"/>
      <c r="F48" s="5"/>
    </row>
    <row r="49" spans="2:6" ht="12.75">
      <c r="B49" s="5"/>
      <c r="E49" s="54"/>
      <c r="F49" s="5"/>
    </row>
    <row r="50" spans="2:6" ht="12.75">
      <c r="B50" s="5"/>
      <c r="E50" s="54"/>
      <c r="F50" s="5"/>
    </row>
    <row r="51" spans="2:6" ht="12.75">
      <c r="B51" s="5"/>
      <c r="E51" s="54"/>
      <c r="F51" s="5"/>
    </row>
    <row r="52" spans="2:6" ht="12.75">
      <c r="B52" s="5"/>
      <c r="E52" s="54"/>
      <c r="F52" s="5"/>
    </row>
    <row r="53" spans="2:6" ht="12.75">
      <c r="B53" s="5"/>
      <c r="E53" s="54"/>
      <c r="F53" s="5"/>
    </row>
    <row r="54" spans="2:6" ht="12.75">
      <c r="B54" s="5"/>
      <c r="E54" s="54"/>
      <c r="F54" s="5"/>
    </row>
    <row r="55" spans="2:6" ht="12.75">
      <c r="B55" s="5"/>
      <c r="E55" s="54"/>
      <c r="F55" s="5"/>
    </row>
    <row r="56" spans="2:6" ht="12.75">
      <c r="B56" s="5"/>
      <c r="E56" s="54"/>
      <c r="F56" s="5"/>
    </row>
    <row r="57" spans="2:6" ht="12.75">
      <c r="B57" s="5"/>
      <c r="E57" s="54"/>
      <c r="F57" s="5"/>
    </row>
    <row r="58" spans="2:6" ht="12.75">
      <c r="B58" s="5"/>
      <c r="E58" s="54"/>
      <c r="F58" s="5"/>
    </row>
    <row r="59" spans="2:6" ht="12.75">
      <c r="B59" s="5"/>
      <c r="E59" s="54"/>
      <c r="F59" s="5"/>
    </row>
    <row r="60" spans="2:6" ht="12.75">
      <c r="B60" s="5"/>
      <c r="E60" s="54"/>
      <c r="F60" s="5"/>
    </row>
    <row r="61" spans="2:6" ht="12.75">
      <c r="B61" s="5"/>
      <c r="E61" s="54"/>
      <c r="F61" s="5"/>
    </row>
    <row r="62" spans="2:6" ht="12.75">
      <c r="B62" s="5"/>
      <c r="E62" s="54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</sheetData>
  <sheetProtection/>
  <hyperlinks>
    <hyperlink ref="P38" r:id="rId1" display="http://www.bav-astro.de/sfs/BAVM_link.php?BAVMnr=179"/>
    <hyperlink ref="P39" r:id="rId2" display="http://www.konkoly.hu/cgi-bin/IBVS?5507"/>
    <hyperlink ref="P40" r:id="rId3" display="http://www.konkoly.hu/cgi-bin/IBVS?5507"/>
    <hyperlink ref="P41" r:id="rId4" display="http://www.konkoly.hu/cgi-bin/IBVS?5507"/>
    <hyperlink ref="P42" r:id="rId5" display="http://www.konkoly.hu/cgi-bin/IBVS?5507"/>
    <hyperlink ref="P43" r:id="rId6" display="http://www.konkoly.hu/cgi-bin/IBVS?5507"/>
    <hyperlink ref="P44" r:id="rId7" display="http://www.konkoly.hu/cgi-bin/IBVS?5507"/>
    <hyperlink ref="P34" r:id="rId8" display="http://www.konkoly.hu/cgi-bin/IBVS?5592"/>
    <hyperlink ref="P35" r:id="rId9" display="http://www.konkoly.hu/cgi-bin/IBVS?6007"/>
    <hyperlink ref="P36" r:id="rId10" display="http://www.bav-astro.de/sfs/BAVM_link.php?BAVMnr=209"/>
    <hyperlink ref="P37" r:id="rId11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