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<sst xmlns="http://schemas.openxmlformats.org/spreadsheetml/2006/main" count="346" uniqueCount="193">
  <si>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</si>
  <si>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</si>
  <si>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</si>
  <si>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</si>
  <si>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</si>
  <si>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</si>
  <si>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</si>
  <si>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</si>
  <si>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</si>
  <si>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</si>
  <si>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</si>
  <si>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</si>
  <si>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</si>
  <si>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</si>
  <si>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</si>
  <si>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</si>
  <si>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</si>
  <si>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</si>
  <si>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</si>
  <si>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</si>
  <si>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</si>
  <si>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</si>
  <si>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</si>
  <si>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</si>
  <si>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</si>
  <si>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</si>
  <si>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</si>
  <si>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</si>
  <si>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EB</t>
  </si>
  <si>
    <t>IBVS 4606</t>
  </si>
  <si>
    <t>IBVS 5484</t>
  </si>
  <si>
    <t>IBVS 5296</t>
  </si>
  <si>
    <t>II</t>
  </si>
  <si>
    <t>IBVS 5502</t>
  </si>
  <si>
    <t>I</t>
  </si>
  <si>
    <t>IBVS</t>
  </si>
  <si>
    <t>Nelson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</si>
  <si>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</si>
  <si>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</si>
  <si>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</si>
  <si>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</si>
  <si>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</si>
  <si>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</si>
  <si>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</si>
  <si>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IBVS 5760</t>
  </si>
  <si>
    <t>IBVS 5802</t>
  </si>
  <si>
    <t>V496 Mon / GSC 0151-1066</t>
  </si>
  <si>
    <t>Start of linear fit &gt;&gt;&gt;&gt;&gt;&gt;&gt;&gt;&gt;&gt;&gt;&gt;&gt;&gt;&gt;&gt;&gt;&gt;&gt;&gt;&gt;</t>
  </si>
  <si>
    <t>OEJV 0074</t>
  </si>
  <si>
    <t>CCD+V</t>
  </si>
  <si>
    <t>OEJV</t>
  </si>
  <si>
    <t>Add cycle</t>
  </si>
  <si>
    <t>Old Cycle</t>
  </si>
  <si>
    <t>IBVS 5918</t>
  </si>
  <si>
    <t>.0020</t>
  </si>
  <si>
    <t>.0007</t>
  </si>
  <si>
    <t>IBVS 5992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</si>
  <si>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</si>
  <si>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</si>
  <si>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</si>
  <si>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</si>
  <si>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</si>
  <si>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</si>
  <si>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</si>
  <si>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</si>
  <si>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</si>
  <si>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</si>
  <si>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</si>
  <si>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</si>
  <si>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2429302.345 </t>
  </si>
  <si>
    <t> 07.02.1939 20:16 </t>
  </si>
  <si>
    <t> -0.008 </t>
  </si>
  <si>
    <t>P </t>
  </si>
  <si>
    <t> A.A.Wachmann </t>
  </si>
  <si>
    <t> AHSB 7.7.353 </t>
  </si>
  <si>
    <t>2429615.558 </t>
  </si>
  <si>
    <t> 18.12.1939 01:23 </t>
  </si>
  <si>
    <t> 0.002 </t>
  </si>
  <si>
    <t>2430085.370 </t>
  </si>
  <si>
    <t> 31.03.1941 20:52 </t>
  </si>
  <si>
    <t> 0.011 </t>
  </si>
  <si>
    <t>2432862.550 </t>
  </si>
  <si>
    <t> 07.11.1948 01:12 </t>
  </si>
  <si>
    <t> -0.004 </t>
  </si>
  <si>
    <t>2432909.465 </t>
  </si>
  <si>
    <t> 23.12.1948 23:09 </t>
  </si>
  <si>
    <t>2432915.410 </t>
  </si>
  <si>
    <t> 29.12.1948 21:50 </t>
  </si>
  <si>
    <t> -0.005 </t>
  </si>
  <si>
    <t>2433330.375 </t>
  </si>
  <si>
    <t> 17.02.1950 21:00 </t>
  </si>
  <si>
    <t> -0.001 </t>
  </si>
  <si>
    <t>2433702.375 </t>
  </si>
  <si>
    <t> 24.02.1951 21:00 </t>
  </si>
  <si>
    <t> -0.011 </t>
  </si>
  <si>
    <t>2433706.372 </t>
  </si>
  <si>
    <t> 28.02.1951 20:55 </t>
  </si>
  <si>
    <t> 0.021 </t>
  </si>
  <si>
    <t>2434068.420 </t>
  </si>
  <si>
    <t> 25.02.1952 22:04 </t>
  </si>
  <si>
    <t> -0.030 </t>
  </si>
  <si>
    <t>2434086.300 </t>
  </si>
  <si>
    <t> 14.03.1952 19:12 </t>
  </si>
  <si>
    <t> 0.009 </t>
  </si>
  <si>
    <t>2434748.390 </t>
  </si>
  <si>
    <t> 05.01.1954 21:21 </t>
  </si>
  <si>
    <t> 0.013 </t>
  </si>
  <si>
    <t>2434769.515 </t>
  </si>
  <si>
    <t> 27.01.1954 00:21 </t>
  </si>
  <si>
    <t> -0.007 </t>
  </si>
  <si>
    <t>2434781.420 </t>
  </si>
  <si>
    <t> 07.02.1954 22:04 </t>
  </si>
  <si>
    <t> 0.004 </t>
  </si>
  <si>
    <t>2435161.360 </t>
  </si>
  <si>
    <t> 22.02.1955 20:38 </t>
  </si>
  <si>
    <t> 0.005 </t>
  </si>
  <si>
    <t>2435163.335 </t>
  </si>
  <si>
    <t> 24.02.1955 20:02 </t>
  </si>
  <si>
    <t>2435165.325 </t>
  </si>
  <si>
    <t> 26.02.1955 19:48 </t>
  </si>
  <si>
    <t>2449372.3975 </t>
  </si>
  <si>
    <t> 19.01.1994 21:32 </t>
  </si>
  <si>
    <t> -0.0286 </t>
  </si>
  <si>
    <t>E </t>
  </si>
  <si>
    <t>o</t>
  </si>
  <si>
    <t> F.Agerer </t>
  </si>
  <si>
    <t>BAVM 68 </t>
  </si>
  <si>
    <t>2450823.4426 </t>
  </si>
  <si>
    <t> 09.01.1998 22:37 </t>
  </si>
  <si>
    <t> -0.0232 </t>
  </si>
  <si>
    <t> W.Kleikamp </t>
  </si>
  <si>
    <t>BAVM 111 </t>
  </si>
  <si>
    <t>2451585.3021 </t>
  </si>
  <si>
    <t> 10.02.2000 19:15 </t>
  </si>
  <si>
    <t> -0.0256 </t>
  </si>
  <si>
    <t>?</t>
  </si>
  <si>
    <t> J.Safar </t>
  </si>
  <si>
    <t> BRNO 32 </t>
  </si>
  <si>
    <t>2451891.8954 </t>
  </si>
  <si>
    <t> 13.12.2000 09:29 </t>
  </si>
  <si>
    <t> -0.0273 </t>
  </si>
  <si>
    <t> R.H.Nelson </t>
  </si>
  <si>
    <t>IBVS 5040 </t>
  </si>
  <si>
    <t>2451950.3781 </t>
  </si>
  <si>
    <t> 09.02.2001 21:04 </t>
  </si>
  <si>
    <t> -0.0223 </t>
  </si>
  <si>
    <t>-I</t>
  </si>
  <si>
    <t>BAVM 152 </t>
  </si>
  <si>
    <t>2452321.39550 </t>
  </si>
  <si>
    <t> 15.02.2002 21:29 </t>
  </si>
  <si>
    <t>29369</t>
  </si>
  <si>
    <t> -0.02435 </t>
  </si>
  <si>
    <t>C </t>
  </si>
  <si>
    <t> P.Hájek </t>
  </si>
  <si>
    <t>OEJV 0074 </t>
  </si>
  <si>
    <t>2452647.8098 </t>
  </si>
  <si>
    <t> 08.01.2003 07:26 </t>
  </si>
  <si>
    <t>29863</t>
  </si>
  <si>
    <t> -0.0279 </t>
  </si>
  <si>
    <t> S.Dvorak </t>
  </si>
  <si>
    <t>IBVS 5502 </t>
  </si>
  <si>
    <t>2452695.3848 </t>
  </si>
  <si>
    <t> 24.02.2003 21:14 </t>
  </si>
  <si>
    <t>29935</t>
  </si>
  <si>
    <t> -0.0280 </t>
  </si>
  <si>
    <t>BAVM 158 </t>
  </si>
  <si>
    <t>2453784.6559 </t>
  </si>
  <si>
    <t> 18.02.2006 03:44 </t>
  </si>
  <si>
    <t>31583.5</t>
  </si>
  <si>
    <t> -0.0278 </t>
  </si>
  <si>
    <t>R</t>
  </si>
  <si>
    <t> R.Nelson </t>
  </si>
  <si>
    <t>IBVS 5760 </t>
  </si>
  <si>
    <t>2454154.3478 </t>
  </si>
  <si>
    <t> 22.02.2007 20:20 </t>
  </si>
  <si>
    <t>32143</t>
  </si>
  <si>
    <t> -0.0339 </t>
  </si>
  <si>
    <t>BAVM 186 </t>
  </si>
  <si>
    <t>2454840.5507 </t>
  </si>
  <si>
    <t> 09.01.2009 01:13 </t>
  </si>
  <si>
    <t>33181.5</t>
  </si>
  <si>
    <t> -0.0353 </t>
  </si>
  <si>
    <t>BAVM 209 </t>
  </si>
  <si>
    <t>2454841.5455 </t>
  </si>
  <si>
    <t> 10.01.2009 01:05 </t>
  </si>
  <si>
    <t>33183</t>
  </si>
  <si>
    <t> -0.0317 </t>
  </si>
  <si>
    <t>2455604.7268 </t>
  </si>
  <si>
    <t> 12.02.2011 05:26 </t>
  </si>
  <si>
    <t>34338</t>
  </si>
  <si>
    <t> -0.0338 </t>
  </si>
  <si>
    <t> R.Diethelm </t>
  </si>
  <si>
    <t>IBVS 5992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</si>
</sst>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V496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065"/>
          <c:w val="0.9097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A!$F$21:$F$994</c:f>
              <c:numCache/>
            </c:numRef>
          </c:xVal>
          <c:yVal>
            <c:numRef>
              <c:f>A!$H$21:$H$994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A!$I$21:$I$994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A!$J$21:$J$994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A!$K$21:$K$994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A!$L$21:$L$994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A!$M$21:$M$994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0.0003</c:v>
                  </c:pt>
                  <c:pt idx="20">
                    <c:v>NaN</c:v>
                  </c:pt>
                  <c:pt idx="21">
                    <c:v>0.0002</c:v>
                  </c:pt>
                  <c:pt idx="22">
                    <c:v>0.0007</c:v>
                  </c:pt>
                  <c:pt idx="23">
                    <c:v>0</c:v>
                  </c:pt>
                  <c:pt idx="24">
                    <c:v>0.0003</c:v>
                  </c:pt>
                  <c:pt idx="25">
                    <c:v>0.0017</c:v>
                  </c:pt>
                  <c:pt idx="26">
                    <c:v>0.0003</c:v>
                  </c:pt>
                  <c:pt idx="27">
                    <c:v>0.0024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A!$N$21:$N$994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A!$F$21:$F$994</c:f>
              <c:numCache/>
            </c:numRef>
          </c:xVal>
          <c:yVal>
            <c:numRef>
              <c:f>A!$O$21:$O$994</c:f>
              <c:numCache/>
            </c:numRef>
          </c:yVal>
          <c:smooth val="0"/>
        </c:ser>
        <c:axId val="9060481"/>
        <c:axId val="14435466"/>
      </c:scatterChart>
      <c:val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crossBetween val="midCat"/>
        <c:dispUnits/>
      </c:val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75"/>
          <c:y val="0.92975"/>
          <c:w val="0.743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95250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33825" y="0"/>
        <a:ext cx="6276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8" TargetMode="External" /><Relationship Id="rId2" Type="http://schemas.openxmlformats.org/officeDocument/2006/relationships/hyperlink" Target="http://www.bav-astro.de/sfs/BAVM_link.php?BAVMnr=111" TargetMode="External" /><Relationship Id="rId3" Type="http://schemas.openxmlformats.org/officeDocument/2006/relationships/hyperlink" Target="http://www.konkoly.hu/cgi-bin/IBVS?5040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konkoly.hu/cgi-bin/IBVS?5502" TargetMode="External" /><Relationship Id="rId7" Type="http://schemas.openxmlformats.org/officeDocument/2006/relationships/hyperlink" Target="http://www.bav-astro.de/sfs/BAVM_link.php?BAVMnr=158" TargetMode="External" /><Relationship Id="rId8" Type="http://schemas.openxmlformats.org/officeDocument/2006/relationships/hyperlink" Target="http://www.konkoly.hu/cgi-bin/IBVS?5760" TargetMode="External" /><Relationship Id="rId9" Type="http://schemas.openxmlformats.org/officeDocument/2006/relationships/hyperlink" Target="http://www.bav-astro.de/sfs/BAVM_link.php?BAVMnr=186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bav-astro.de/sfs/BAVM_link.php?BAVMnr=209" TargetMode="External" /><Relationship Id="rId12" Type="http://schemas.openxmlformats.org/officeDocument/2006/relationships/hyperlink" Target="http://www.konkoly.hu/cgi-bin/IBVS?59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24</v>
      </c>
      <c r="B2" t="s">
        <v>28</v>
      </c>
    </row>
    <row r="4" spans="1:4" ht="12.75">
      <c r="A4" s="7" t="s">
        <v>0</v>
      </c>
      <c r="C4" s="3">
        <v>32915.4155</v>
      </c>
      <c r="D4" s="4">
        <v>0.6607649</v>
      </c>
    </row>
    <row r="6" ht="12.75">
      <c r="A6" s="7" t="s">
        <v>1</v>
      </c>
    </row>
    <row r="7" spans="1:3" ht="12.75">
      <c r="A7" t="s">
        <v>2</v>
      </c>
      <c r="C7">
        <f>+C4</f>
        <v>32915.4155</v>
      </c>
    </row>
    <row r="8" spans="1:3" ht="12.75">
      <c r="A8" t="s">
        <v>3</v>
      </c>
      <c r="C8">
        <f>+D4</f>
        <v>0.6607649</v>
      </c>
    </row>
    <row r="9" spans="1:5" ht="12.75">
      <c r="A9" s="14" t="s">
        <v>37</v>
      </c>
      <c r="B9" s="15"/>
      <c r="C9" s="16">
        <v>-9.5</v>
      </c>
      <c r="D9" s="15" t="s">
        <v>38</v>
      </c>
      <c r="E9" s="15"/>
    </row>
    <row r="10" spans="1:5" ht="13.5" thickBot="1">
      <c r="A10" s="15"/>
      <c r="B10" s="15"/>
      <c r="C10" s="6" t="s">
        <v>20</v>
      </c>
      <c r="D10" s="6" t="s">
        <v>21</v>
      </c>
      <c r="E10" s="15"/>
    </row>
    <row r="11" spans="1:7" ht="12.75">
      <c r="A11" s="15" t="s">
        <v>16</v>
      </c>
      <c r="B11" s="15"/>
      <c r="C11" s="35">
        <f ca="1">INTERCEPT(INDIRECT($G$11):G990,INDIRECT($F$11):F990)</f>
        <v>0.001055880897500758</v>
      </c>
      <c r="D11" s="5"/>
      <c r="E11" s="15"/>
      <c r="F11" s="36" t="str">
        <f>"F"&amp;E19</f>
        <v>F22</v>
      </c>
      <c r="G11" s="37" t="str">
        <f>"G"&amp;E19</f>
        <v>G22</v>
      </c>
    </row>
    <row r="12" spans="1:5" ht="12.75">
      <c r="A12" s="15" t="s">
        <v>17</v>
      </c>
      <c r="B12" s="15"/>
      <c r="C12" s="35">
        <f ca="1">SLOPE(INDIRECT($G$11):G990,INDIRECT($F$11):F990)</f>
        <v>-9.756366979324296E-07</v>
      </c>
      <c r="D12" s="5"/>
      <c r="E12" s="15"/>
    </row>
    <row r="13" spans="1:5" ht="12.75">
      <c r="A13" s="15" t="s">
        <v>19</v>
      </c>
      <c r="B13" s="15"/>
      <c r="C13" s="5" t="s">
        <v>14</v>
      </c>
      <c r="D13" s="19" t="s">
        <v>51</v>
      </c>
      <c r="E13" s="16">
        <v>1</v>
      </c>
    </row>
    <row r="14" spans="1:5" ht="12.75">
      <c r="A14" s="15"/>
      <c r="B14" s="15"/>
      <c r="C14" s="15"/>
      <c r="D14" s="19" t="s">
        <v>39</v>
      </c>
      <c r="E14" s="20">
        <f ca="1">NOW()+15018.5+$C$9/24</f>
        <v>59903.72948958333</v>
      </c>
    </row>
    <row r="15" spans="1:5" ht="12.75">
      <c r="A15" s="17" t="s">
        <v>18</v>
      </c>
      <c r="B15" s="15"/>
      <c r="C15" s="18">
        <f>(C7+C11)+(C8+C12)*INT(MAX(F21:F3531))</f>
        <v>55604.72819066797</v>
      </c>
      <c r="D15" s="19" t="s">
        <v>52</v>
      </c>
      <c r="E15" s="20">
        <f>ROUND(2*(E14-$C$7)/$C$8,0)/2+E13</f>
        <v>40845</v>
      </c>
    </row>
    <row r="16" spans="1:5" ht="12.75">
      <c r="A16" s="21" t="s">
        <v>4</v>
      </c>
      <c r="B16" s="15"/>
      <c r="C16" s="22">
        <f>+C8+C12</f>
        <v>0.660763924363302</v>
      </c>
      <c r="D16" s="19" t="s">
        <v>40</v>
      </c>
      <c r="E16" s="37">
        <f>ROUND(2*(E14-$C$15)/$C$16,0)/2+E13</f>
        <v>6507</v>
      </c>
    </row>
    <row r="17" spans="1:5" ht="13.5" thickBot="1">
      <c r="A17" s="19" t="s">
        <v>41</v>
      </c>
      <c r="B17" s="15"/>
      <c r="C17" s="15">
        <f>COUNT(C21:C2189)</f>
        <v>31</v>
      </c>
      <c r="D17" s="19" t="s">
        <v>42</v>
      </c>
      <c r="E17" s="23">
        <f>+$C$15+$C$16*E16-15018.5-$C$9/24</f>
        <v>44886.214879833315</v>
      </c>
    </row>
    <row r="18" spans="1:5" ht="12.75">
      <c r="A18" s="21" t="s">
        <v>5</v>
      </c>
      <c r="B18" s="15"/>
      <c r="C18" s="24">
        <f>+C15</f>
        <v>55604.72819066797</v>
      </c>
      <c r="D18" s="25">
        <f>+C16</f>
        <v>0.660763924363302</v>
      </c>
      <c r="E18" s="26" t="s">
        <v>43</v>
      </c>
    </row>
    <row r="19" spans="1:5" ht="13.5" thickTop="1">
      <c r="A19" s="38" t="s">
        <v>47</v>
      </c>
      <c r="E19" s="39">
        <v>22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35</v>
      </c>
      <c r="J20" s="9" t="s">
        <v>36</v>
      </c>
      <c r="K20" s="9" t="s">
        <v>50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57" t="s">
        <v>74</v>
      </c>
      <c r="B21" s="58" t="s">
        <v>34</v>
      </c>
      <c r="C21" s="57">
        <v>29302.345</v>
      </c>
      <c r="D21" s="5"/>
      <c r="E21">
        <f aca="true" t="shared" si="0" ref="E21:E51">+(C21-C$7)/C$8</f>
        <v>-5468.012147739691</v>
      </c>
      <c r="F21">
        <f aca="true" t="shared" si="1" ref="F21:F51">ROUND(2*E21,0)/2</f>
        <v>-5468</v>
      </c>
      <c r="G21">
        <f aca="true" t="shared" si="2" ref="G21:G51">+C21-(C$7+F21*C$8)</f>
        <v>-0.008026800001971424</v>
      </c>
      <c r="L21">
        <f aca="true" t="shared" si="3" ref="L21:L26">+G21</f>
        <v>-0.008026800001971424</v>
      </c>
      <c r="O21">
        <f aca="true" t="shared" si="4" ref="O21:O51">+C$11+C$12*$F21</f>
        <v>0.006390662361795283</v>
      </c>
      <c r="Q21" s="2">
        <f aca="true" t="shared" si="5" ref="Q21:Q51">+C21-15018.5</f>
        <v>14283.845000000001</v>
      </c>
    </row>
    <row r="22" spans="1:17" ht="12.75">
      <c r="A22" s="57" t="s">
        <v>74</v>
      </c>
      <c r="B22" s="58" t="s">
        <v>34</v>
      </c>
      <c r="C22" s="57">
        <v>29615.558</v>
      </c>
      <c r="D22" s="5"/>
      <c r="E22">
        <f t="shared" si="0"/>
        <v>-4993.9963518037985</v>
      </c>
      <c r="F22">
        <f t="shared" si="1"/>
        <v>-4994</v>
      </c>
      <c r="G22">
        <f t="shared" si="2"/>
        <v>0.0024105999982566573</v>
      </c>
      <c r="L22">
        <f t="shared" si="3"/>
        <v>0.0024105999982566573</v>
      </c>
      <c r="O22">
        <f t="shared" si="4"/>
        <v>0.005928210566975312</v>
      </c>
      <c r="Q22" s="2">
        <f t="shared" si="5"/>
        <v>14597.058</v>
      </c>
    </row>
    <row r="23" spans="1:17" ht="12.75">
      <c r="A23" s="57" t="s">
        <v>74</v>
      </c>
      <c r="B23" s="58" t="s">
        <v>34</v>
      </c>
      <c r="C23" s="57">
        <v>30085.37</v>
      </c>
      <c r="D23" s="5"/>
      <c r="E23">
        <f t="shared" si="0"/>
        <v>-4282.984008381807</v>
      </c>
      <c r="F23">
        <f t="shared" si="1"/>
        <v>-4283</v>
      </c>
      <c r="G23">
        <f t="shared" si="2"/>
        <v>0.010566699995251838</v>
      </c>
      <c r="L23">
        <f t="shared" si="3"/>
        <v>0.010566699995251838</v>
      </c>
      <c r="O23">
        <f t="shared" si="4"/>
        <v>0.005234532874745354</v>
      </c>
      <c r="Q23" s="2">
        <f t="shared" si="5"/>
        <v>15066.869999999999</v>
      </c>
    </row>
    <row r="24" spans="1:17" ht="12.75">
      <c r="A24" s="57" t="s">
        <v>74</v>
      </c>
      <c r="B24" s="58" t="s">
        <v>34</v>
      </c>
      <c r="C24" s="57">
        <v>32862.55</v>
      </c>
      <c r="D24" s="5"/>
      <c r="E24">
        <f t="shared" si="0"/>
        <v>-80.0065197167705</v>
      </c>
      <c r="F24">
        <f t="shared" si="1"/>
        <v>-80</v>
      </c>
      <c r="G24">
        <f t="shared" si="2"/>
        <v>-0.0043080000032205135</v>
      </c>
      <c r="L24">
        <f t="shared" si="3"/>
        <v>-0.0043080000032205135</v>
      </c>
      <c r="O24">
        <f t="shared" si="4"/>
        <v>0.0011339318333353525</v>
      </c>
      <c r="Q24" s="2">
        <f t="shared" si="5"/>
        <v>17844.050000000003</v>
      </c>
    </row>
    <row r="25" spans="1:17" ht="12.75">
      <c r="A25" s="57" t="s">
        <v>74</v>
      </c>
      <c r="B25" s="58" t="s">
        <v>34</v>
      </c>
      <c r="C25" s="57">
        <v>32909.465</v>
      </c>
      <c r="D25" s="5"/>
      <c r="E25">
        <f t="shared" si="0"/>
        <v>-9.005472294315704</v>
      </c>
      <c r="F25">
        <f t="shared" si="1"/>
        <v>-9</v>
      </c>
      <c r="G25">
        <f t="shared" si="2"/>
        <v>-0.0036159000082989223</v>
      </c>
      <c r="L25">
        <f t="shared" si="3"/>
        <v>-0.0036159000082989223</v>
      </c>
      <c r="O25">
        <f t="shared" si="4"/>
        <v>0.00106466162778215</v>
      </c>
      <c r="Q25" s="2">
        <f t="shared" si="5"/>
        <v>17890.964999999997</v>
      </c>
    </row>
    <row r="26" spans="1:17" ht="12.75">
      <c r="A26" s="57" t="s">
        <v>74</v>
      </c>
      <c r="B26" s="58" t="s">
        <v>34</v>
      </c>
      <c r="C26" s="57">
        <v>32915.41</v>
      </c>
      <c r="D26" s="5"/>
      <c r="E26">
        <f t="shared" si="0"/>
        <v>-0.008323686683874261</v>
      </c>
      <c r="F26">
        <f t="shared" si="1"/>
        <v>0</v>
      </c>
      <c r="G26">
        <f t="shared" si="2"/>
        <v>-0.005499999999301508</v>
      </c>
      <c r="L26">
        <f t="shared" si="3"/>
        <v>-0.005499999999301508</v>
      </c>
      <c r="O26">
        <f t="shared" si="4"/>
        <v>0.001055880897500758</v>
      </c>
      <c r="Q26" s="2">
        <f t="shared" si="5"/>
        <v>17896.910000000003</v>
      </c>
    </row>
    <row r="27" spans="1:17" ht="12.75">
      <c r="A27" t="s">
        <v>12</v>
      </c>
      <c r="C27" s="32">
        <f>C$4</f>
        <v>32915.4155</v>
      </c>
      <c r="D27" s="32"/>
      <c r="E27">
        <f t="shared" si="0"/>
        <v>0</v>
      </c>
      <c r="F27">
        <f t="shared" si="1"/>
        <v>0</v>
      </c>
      <c r="G27">
        <f t="shared" si="2"/>
        <v>0</v>
      </c>
      <c r="H27">
        <f>+G27</f>
        <v>0</v>
      </c>
      <c r="O27">
        <f t="shared" si="4"/>
        <v>0.001055880897500758</v>
      </c>
      <c r="Q27" s="2">
        <f t="shared" si="5"/>
        <v>17896.915500000003</v>
      </c>
    </row>
    <row r="28" spans="1:17" ht="12.75">
      <c r="A28" s="57" t="s">
        <v>74</v>
      </c>
      <c r="B28" s="58" t="s">
        <v>34</v>
      </c>
      <c r="C28" s="57">
        <v>33330.375</v>
      </c>
      <c r="D28" s="5"/>
      <c r="E28">
        <f t="shared" si="0"/>
        <v>627.998702715591</v>
      </c>
      <c r="F28">
        <f t="shared" si="1"/>
        <v>628</v>
      </c>
      <c r="G28">
        <f t="shared" si="2"/>
        <v>-0.0008572000006097369</v>
      </c>
      <c r="L28">
        <f aca="true" t="shared" si="6" ref="L28:L39">+G28</f>
        <v>-0.0008572000006097369</v>
      </c>
      <c r="O28">
        <f t="shared" si="4"/>
        <v>0.0004431810511991923</v>
      </c>
      <c r="Q28" s="2">
        <f t="shared" si="5"/>
        <v>18311.875</v>
      </c>
    </row>
    <row r="29" spans="1:17" ht="12.75">
      <c r="A29" s="57" t="s">
        <v>74</v>
      </c>
      <c r="B29" s="58" t="s">
        <v>34</v>
      </c>
      <c r="C29" s="57">
        <v>33702.375</v>
      </c>
      <c r="D29" s="5"/>
      <c r="E29">
        <f t="shared" si="0"/>
        <v>1190.9826021327665</v>
      </c>
      <c r="F29">
        <f t="shared" si="1"/>
        <v>1191</v>
      </c>
      <c r="G29">
        <f t="shared" si="2"/>
        <v>-0.011495900005684234</v>
      </c>
      <c r="L29">
        <f t="shared" si="6"/>
        <v>-0.011495900005684234</v>
      </c>
      <c r="O29">
        <f t="shared" si="4"/>
        <v>-0.00010610240973676563</v>
      </c>
      <c r="Q29" s="2">
        <f t="shared" si="5"/>
        <v>18683.875</v>
      </c>
    </row>
    <row r="30" spans="1:17" ht="12.75">
      <c r="A30" s="57" t="s">
        <v>74</v>
      </c>
      <c r="B30" s="58" t="s">
        <v>34</v>
      </c>
      <c r="C30" s="57">
        <v>33706.372</v>
      </c>
      <c r="D30" s="5"/>
      <c r="E30">
        <f t="shared" si="0"/>
        <v>1197.0316522563476</v>
      </c>
      <c r="F30">
        <f t="shared" si="1"/>
        <v>1197</v>
      </c>
      <c r="G30">
        <f t="shared" si="2"/>
        <v>0.020914699998684227</v>
      </c>
      <c r="L30">
        <f t="shared" si="6"/>
        <v>0.020914699998684227</v>
      </c>
      <c r="O30">
        <f t="shared" si="4"/>
        <v>-0.00011195622992436023</v>
      </c>
      <c r="Q30" s="2">
        <f t="shared" si="5"/>
        <v>18687.872000000003</v>
      </c>
    </row>
    <row r="31" spans="1:17" ht="12.75">
      <c r="A31" s="57" t="s">
        <v>74</v>
      </c>
      <c r="B31" s="58" t="s">
        <v>34</v>
      </c>
      <c r="C31" s="57">
        <v>34068.42</v>
      </c>
      <c r="D31" s="5"/>
      <c r="E31">
        <f t="shared" si="0"/>
        <v>1744.9542189665272</v>
      </c>
      <c r="F31">
        <f t="shared" si="1"/>
        <v>1745</v>
      </c>
      <c r="G31">
        <f t="shared" si="2"/>
        <v>-0.0302505000072415</v>
      </c>
      <c r="L31">
        <f t="shared" si="6"/>
        <v>-0.0302505000072415</v>
      </c>
      <c r="O31">
        <f t="shared" si="4"/>
        <v>-0.0006466051403913316</v>
      </c>
      <c r="Q31" s="2">
        <f t="shared" si="5"/>
        <v>19049.92</v>
      </c>
    </row>
    <row r="32" spans="1:17" ht="12.75">
      <c r="A32" s="57" t="s">
        <v>74</v>
      </c>
      <c r="B32" s="58" t="s">
        <v>34</v>
      </c>
      <c r="C32" s="57">
        <v>34086.3</v>
      </c>
      <c r="D32" s="5"/>
      <c r="E32">
        <f t="shared" si="0"/>
        <v>1772.0137676804566</v>
      </c>
      <c r="F32">
        <f t="shared" si="1"/>
        <v>1772</v>
      </c>
      <c r="G32">
        <f t="shared" si="2"/>
        <v>0.009097200003452599</v>
      </c>
      <c r="L32">
        <f t="shared" si="6"/>
        <v>0.009097200003452599</v>
      </c>
      <c r="O32">
        <f t="shared" si="4"/>
        <v>-0.000672947331235507</v>
      </c>
      <c r="Q32" s="2">
        <f t="shared" si="5"/>
        <v>19067.800000000003</v>
      </c>
    </row>
    <row r="33" spans="1:17" ht="12.75">
      <c r="A33" s="57" t="s">
        <v>74</v>
      </c>
      <c r="B33" s="58" t="s">
        <v>34</v>
      </c>
      <c r="C33" s="57">
        <v>34748.39</v>
      </c>
      <c r="D33" s="5"/>
      <c r="E33">
        <f t="shared" si="0"/>
        <v>2774.019170812488</v>
      </c>
      <c r="F33">
        <f t="shared" si="1"/>
        <v>2774</v>
      </c>
      <c r="G33">
        <f t="shared" si="2"/>
        <v>0.012667399998463225</v>
      </c>
      <c r="L33">
        <f t="shared" si="6"/>
        <v>0.012667399998463225</v>
      </c>
      <c r="O33">
        <f t="shared" si="4"/>
        <v>-0.0016505353025638016</v>
      </c>
      <c r="Q33" s="2">
        <f t="shared" si="5"/>
        <v>19729.89</v>
      </c>
    </row>
    <row r="34" spans="1:17" ht="12.75">
      <c r="A34" s="57" t="s">
        <v>74</v>
      </c>
      <c r="B34" s="58" t="s">
        <v>34</v>
      </c>
      <c r="C34" s="57">
        <v>34769.515</v>
      </c>
      <c r="D34" s="5"/>
      <c r="E34">
        <f t="shared" si="0"/>
        <v>2805.98969467052</v>
      </c>
      <c r="F34">
        <f t="shared" si="1"/>
        <v>2806</v>
      </c>
      <c r="G34">
        <f t="shared" si="2"/>
        <v>-0.006809400001657195</v>
      </c>
      <c r="L34">
        <f t="shared" si="6"/>
        <v>-0.006809400001657195</v>
      </c>
      <c r="O34">
        <f t="shared" si="4"/>
        <v>-0.0016817556768976391</v>
      </c>
      <c r="Q34" s="2">
        <f t="shared" si="5"/>
        <v>19751.015</v>
      </c>
    </row>
    <row r="35" spans="1:17" ht="12.75">
      <c r="A35" s="57" t="s">
        <v>74</v>
      </c>
      <c r="B35" s="58" t="s">
        <v>34</v>
      </c>
      <c r="C35" s="57">
        <v>34781.42</v>
      </c>
      <c r="D35" s="5"/>
      <c r="E35">
        <f t="shared" si="0"/>
        <v>2824.006692849447</v>
      </c>
      <c r="F35">
        <f t="shared" si="1"/>
        <v>2824</v>
      </c>
      <c r="G35">
        <f t="shared" si="2"/>
        <v>0.004422399993927684</v>
      </c>
      <c r="L35">
        <f t="shared" si="6"/>
        <v>0.004422399993927684</v>
      </c>
      <c r="O35">
        <f t="shared" si="4"/>
        <v>-0.001699317137460423</v>
      </c>
      <c r="Q35" s="2">
        <f t="shared" si="5"/>
        <v>19762.92</v>
      </c>
    </row>
    <row r="36" spans="1:17" ht="12.75">
      <c r="A36" s="57" t="s">
        <v>74</v>
      </c>
      <c r="B36" s="58" t="s">
        <v>34</v>
      </c>
      <c r="C36" s="57">
        <v>35161.36</v>
      </c>
      <c r="D36" s="5"/>
      <c r="E36">
        <f t="shared" si="0"/>
        <v>3399.0069690445084</v>
      </c>
      <c r="F36">
        <f t="shared" si="1"/>
        <v>3399</v>
      </c>
      <c r="G36">
        <f t="shared" si="2"/>
        <v>0.004604900001140777</v>
      </c>
      <c r="L36">
        <f t="shared" si="6"/>
        <v>0.004604900001140777</v>
      </c>
      <c r="O36">
        <f t="shared" si="4"/>
        <v>-0.00226030823877157</v>
      </c>
      <c r="Q36" s="2">
        <f t="shared" si="5"/>
        <v>20142.86</v>
      </c>
    </row>
    <row r="37" spans="1:17" ht="12.75">
      <c r="A37" s="57" t="s">
        <v>74</v>
      </c>
      <c r="B37" s="58" t="s">
        <v>34</v>
      </c>
      <c r="C37" s="57">
        <v>35163.335</v>
      </c>
      <c r="D37" s="5"/>
      <c r="E37">
        <f t="shared" si="0"/>
        <v>3401.995929263186</v>
      </c>
      <c r="F37">
        <f t="shared" si="1"/>
        <v>3402</v>
      </c>
      <c r="G37">
        <f t="shared" si="2"/>
        <v>-0.0026898000069195405</v>
      </c>
      <c r="L37">
        <f t="shared" si="6"/>
        <v>-0.0026898000069195405</v>
      </c>
      <c r="O37">
        <f t="shared" si="4"/>
        <v>-0.0022632351488653672</v>
      </c>
      <c r="Q37" s="2">
        <f t="shared" si="5"/>
        <v>20144.835</v>
      </c>
    </row>
    <row r="38" spans="1:17" ht="12.75">
      <c r="A38" s="57" t="s">
        <v>74</v>
      </c>
      <c r="B38" s="58" t="s">
        <v>34</v>
      </c>
      <c r="C38" s="57">
        <v>35165.325</v>
      </c>
      <c r="E38">
        <f t="shared" si="0"/>
        <v>3405.0075904455493</v>
      </c>
      <c r="F38">
        <f t="shared" si="1"/>
        <v>3405</v>
      </c>
      <c r="G38">
        <f t="shared" si="2"/>
        <v>0.005015499991714023</v>
      </c>
      <c r="L38">
        <f t="shared" si="6"/>
        <v>0.005015499991714023</v>
      </c>
      <c r="O38">
        <f t="shared" si="4"/>
        <v>-0.0022661620589591648</v>
      </c>
      <c r="Q38" s="2">
        <f t="shared" si="5"/>
        <v>20146.824999999997</v>
      </c>
    </row>
    <row r="39" spans="1:17" ht="12.75">
      <c r="A39" s="57" t="s">
        <v>126</v>
      </c>
      <c r="B39" s="58" t="s">
        <v>34</v>
      </c>
      <c r="C39" s="57">
        <v>49372.3975</v>
      </c>
      <c r="E39">
        <f t="shared" si="0"/>
        <v>24905.95671773727</v>
      </c>
      <c r="F39">
        <f t="shared" si="1"/>
        <v>24906</v>
      </c>
      <c r="G39">
        <f t="shared" si="2"/>
        <v>-0.028599400007806253</v>
      </c>
      <c r="L39">
        <f t="shared" si="6"/>
        <v>-0.028599400007806253</v>
      </c>
      <c r="O39">
        <f t="shared" si="4"/>
        <v>-0.023243326701204332</v>
      </c>
      <c r="Q39" s="2">
        <f t="shared" si="5"/>
        <v>34353.8975</v>
      </c>
    </row>
    <row r="40" spans="1:17" ht="12.75">
      <c r="A40" s="27" t="s">
        <v>29</v>
      </c>
      <c r="B40" s="28" t="s">
        <v>34</v>
      </c>
      <c r="C40" s="27">
        <v>50823.4426</v>
      </c>
      <c r="D40" s="27">
        <v>0.0003</v>
      </c>
      <c r="E40">
        <f t="shared" si="0"/>
        <v>27101.964859210893</v>
      </c>
      <c r="F40">
        <f t="shared" si="1"/>
        <v>27102</v>
      </c>
      <c r="G40">
        <f t="shared" si="2"/>
        <v>-0.02321980000124313</v>
      </c>
      <c r="I40">
        <f>+G40</f>
        <v>-0.02321980000124313</v>
      </c>
      <c r="O40">
        <f t="shared" si="4"/>
        <v>-0.025385824889863948</v>
      </c>
      <c r="Q40" s="2">
        <f t="shared" si="5"/>
        <v>35804.9426</v>
      </c>
    </row>
    <row r="41" spans="1:17" ht="12.75">
      <c r="A41" s="57" t="s">
        <v>137</v>
      </c>
      <c r="B41" s="58" t="s">
        <v>34</v>
      </c>
      <c r="C41" s="57">
        <v>51585.3021</v>
      </c>
      <c r="E41">
        <f t="shared" si="0"/>
        <v>28254.961182108793</v>
      </c>
      <c r="F41">
        <f t="shared" si="1"/>
        <v>28255</v>
      </c>
      <c r="G41">
        <f t="shared" si="2"/>
        <v>-0.025649500006693415</v>
      </c>
      <c r="L41">
        <f>+G41</f>
        <v>-0.025649500006693415</v>
      </c>
      <c r="O41">
        <f t="shared" si="4"/>
        <v>-0.02651073400258004</v>
      </c>
      <c r="Q41" s="2">
        <f t="shared" si="5"/>
        <v>36566.8021</v>
      </c>
    </row>
    <row r="42" spans="1:17" ht="12.75">
      <c r="A42" s="7" t="s">
        <v>142</v>
      </c>
      <c r="C42" s="32">
        <v>51891.89543</v>
      </c>
      <c r="D42" s="32">
        <v>0.0002</v>
      </c>
      <c r="E42">
        <f t="shared" si="0"/>
        <v>28718.95878549238</v>
      </c>
      <c r="F42">
        <f t="shared" si="1"/>
        <v>28719</v>
      </c>
      <c r="G42">
        <f t="shared" si="2"/>
        <v>-0.02723310000874335</v>
      </c>
      <c r="J42">
        <f>+G42</f>
        <v>-0.02723310000874335</v>
      </c>
      <c r="O42">
        <f t="shared" si="4"/>
        <v>-0.02696342943042069</v>
      </c>
      <c r="Q42" s="2">
        <f t="shared" si="5"/>
        <v>36873.39543</v>
      </c>
    </row>
    <row r="43" spans="1:17" ht="12.75">
      <c r="A43" s="10" t="s">
        <v>31</v>
      </c>
      <c r="B43" s="11" t="s">
        <v>32</v>
      </c>
      <c r="C43" s="33">
        <v>51950.3781</v>
      </c>
      <c r="D43" s="33">
        <v>0.0007</v>
      </c>
      <c r="E43">
        <f t="shared" si="0"/>
        <v>28807.46631668843</v>
      </c>
      <c r="F43">
        <f t="shared" si="1"/>
        <v>28807.5</v>
      </c>
      <c r="G43">
        <f t="shared" si="2"/>
        <v>-0.022256750002270564</v>
      </c>
      <c r="I43">
        <f>+G43</f>
        <v>-0.022256750002270564</v>
      </c>
      <c r="O43">
        <f t="shared" si="4"/>
        <v>-0.027049773278187708</v>
      </c>
      <c r="Q43" s="2">
        <f t="shared" si="5"/>
        <v>36931.8781</v>
      </c>
    </row>
    <row r="44" spans="1:17" ht="12.75">
      <c r="A44" s="40" t="s">
        <v>48</v>
      </c>
      <c r="B44" s="41" t="s">
        <v>34</v>
      </c>
      <c r="C44" s="40">
        <v>52321.3955</v>
      </c>
      <c r="D44" s="40" t="s">
        <v>49</v>
      </c>
      <c r="E44">
        <f t="shared" si="0"/>
        <v>29368.9631516444</v>
      </c>
      <c r="F44">
        <f t="shared" si="1"/>
        <v>29369</v>
      </c>
      <c r="G44">
        <f t="shared" si="2"/>
        <v>-0.024348100007046014</v>
      </c>
      <c r="K44">
        <f>+G44</f>
        <v>-0.024348100007046014</v>
      </c>
      <c r="O44">
        <f t="shared" si="4"/>
        <v>-0.027597593284076766</v>
      </c>
      <c r="Q44" s="2">
        <f t="shared" si="5"/>
        <v>37302.8955</v>
      </c>
    </row>
    <row r="45" spans="1:17" ht="12.75">
      <c r="A45" s="12" t="s">
        <v>33</v>
      </c>
      <c r="B45" s="13" t="s">
        <v>34</v>
      </c>
      <c r="C45" s="34">
        <v>52647.8098</v>
      </c>
      <c r="D45" s="33">
        <v>0.0003</v>
      </c>
      <c r="E45">
        <f t="shared" si="0"/>
        <v>29862.957763040984</v>
      </c>
      <c r="F45">
        <f t="shared" si="1"/>
        <v>29863</v>
      </c>
      <c r="G45">
        <f t="shared" si="2"/>
        <v>-0.027908699994441122</v>
      </c>
      <c r="I45">
        <f>+G45</f>
        <v>-0.027908699994441122</v>
      </c>
      <c r="O45">
        <f t="shared" si="4"/>
        <v>-0.028079557812855385</v>
      </c>
      <c r="Q45" s="2">
        <f t="shared" si="5"/>
        <v>37629.3098</v>
      </c>
    </row>
    <row r="46" spans="1:17" ht="12.75">
      <c r="A46" t="s">
        <v>30</v>
      </c>
      <c r="C46" s="32">
        <v>52695.3848</v>
      </c>
      <c r="D46" s="32">
        <v>0.0017</v>
      </c>
      <c r="E46">
        <f t="shared" si="0"/>
        <v>29934.957652865636</v>
      </c>
      <c r="F46">
        <f t="shared" si="1"/>
        <v>29935</v>
      </c>
      <c r="G46">
        <f t="shared" si="2"/>
        <v>-0.027981500003079418</v>
      </c>
      <c r="I46">
        <f>+G46</f>
        <v>-0.027981500003079418</v>
      </c>
      <c r="O46">
        <f t="shared" si="4"/>
        <v>-0.02814980365510652</v>
      </c>
      <c r="Q46" s="2">
        <f t="shared" si="5"/>
        <v>37676.8848</v>
      </c>
    </row>
    <row r="47" spans="1:17" ht="12.75">
      <c r="A47" s="7" t="s">
        <v>44</v>
      </c>
      <c r="C47" s="32">
        <v>53784.6559</v>
      </c>
      <c r="D47" s="33">
        <v>0.0003</v>
      </c>
      <c r="E47">
        <f t="shared" si="0"/>
        <v>31583.45789856573</v>
      </c>
      <c r="F47">
        <f t="shared" si="1"/>
        <v>31583.5</v>
      </c>
      <c r="G47">
        <f t="shared" si="2"/>
        <v>-0.027819150003779214</v>
      </c>
      <c r="J47">
        <f>+G47</f>
        <v>-0.027819150003779214</v>
      </c>
      <c r="O47">
        <f t="shared" si="4"/>
        <v>-0.029758140751648135</v>
      </c>
      <c r="Q47" s="2">
        <f t="shared" si="5"/>
        <v>38766.1559</v>
      </c>
    </row>
    <row r="48" spans="1:17" ht="12.75">
      <c r="A48" s="29" t="s">
        <v>45</v>
      </c>
      <c r="B48" s="30"/>
      <c r="C48" s="31">
        <v>54154.3478</v>
      </c>
      <c r="D48" s="32">
        <v>0.0024</v>
      </c>
      <c r="E48">
        <f t="shared" si="0"/>
        <v>32142.948725030645</v>
      </c>
      <c r="F48">
        <f t="shared" si="1"/>
        <v>32143</v>
      </c>
      <c r="G48">
        <f t="shared" si="2"/>
        <v>-0.0338807000007364</v>
      </c>
      <c r="I48">
        <f>+G48</f>
        <v>-0.0338807000007364</v>
      </c>
      <c r="O48">
        <f t="shared" si="4"/>
        <v>-0.03030400948414133</v>
      </c>
      <c r="Q48" s="2">
        <f t="shared" si="5"/>
        <v>39135.8478</v>
      </c>
    </row>
    <row r="49" spans="1:17" ht="12.75">
      <c r="A49" s="42" t="s">
        <v>53</v>
      </c>
      <c r="B49" s="43" t="s">
        <v>32</v>
      </c>
      <c r="C49" s="42">
        <v>54840.5507</v>
      </c>
      <c r="D49" s="42" t="s">
        <v>54</v>
      </c>
      <c r="E49">
        <f t="shared" si="0"/>
        <v>33181.446532647235</v>
      </c>
      <c r="F49">
        <f t="shared" si="1"/>
        <v>33181.5</v>
      </c>
      <c r="G49">
        <f t="shared" si="2"/>
        <v>-0.035329350001120474</v>
      </c>
      <c r="I49">
        <f>+G49</f>
        <v>-0.035329350001120474</v>
      </c>
      <c r="O49">
        <f t="shared" si="4"/>
        <v>-0.03131720819494416</v>
      </c>
      <c r="Q49" s="2">
        <f t="shared" si="5"/>
        <v>39822.0507</v>
      </c>
    </row>
    <row r="50" spans="1:17" ht="12.75">
      <c r="A50" s="42" t="s">
        <v>53</v>
      </c>
      <c r="B50" s="43" t="s">
        <v>34</v>
      </c>
      <c r="C50" s="42">
        <v>54841.5455</v>
      </c>
      <c r="D50" s="42" t="s">
        <v>55</v>
      </c>
      <c r="E50">
        <f t="shared" si="0"/>
        <v>33182.952060558906</v>
      </c>
      <c r="F50">
        <f t="shared" si="1"/>
        <v>33183</v>
      </c>
      <c r="G50">
        <f t="shared" si="2"/>
        <v>-0.031676700004027225</v>
      </c>
      <c r="I50">
        <f>+G50</f>
        <v>-0.031676700004027225</v>
      </c>
      <c r="O50">
        <f t="shared" si="4"/>
        <v>-0.03131867164999105</v>
      </c>
      <c r="Q50" s="2">
        <f t="shared" si="5"/>
        <v>39823.0455</v>
      </c>
    </row>
    <row r="51" spans="1:17" ht="12.75">
      <c r="A51" s="42" t="s">
        <v>56</v>
      </c>
      <c r="B51" s="43" t="s">
        <v>34</v>
      </c>
      <c r="C51" s="42">
        <v>55604.7268</v>
      </c>
      <c r="D51" s="42">
        <v>0.0002</v>
      </c>
      <c r="E51">
        <f t="shared" si="0"/>
        <v>34337.948792376825</v>
      </c>
      <c r="F51">
        <f t="shared" si="1"/>
        <v>34338</v>
      </c>
      <c r="G51">
        <f t="shared" si="2"/>
        <v>-0.03383620000386145</v>
      </c>
      <c r="I51">
        <f>+G51</f>
        <v>-0.03383620000386145</v>
      </c>
      <c r="O51">
        <f t="shared" si="4"/>
        <v>-0.03244553203610301</v>
      </c>
      <c r="Q51" s="2">
        <f t="shared" si="5"/>
        <v>40586.2268</v>
      </c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5"/>
  <sheetViews>
    <sheetView zoomScalePageLayoutView="0" workbookViewId="0" topLeftCell="A1">
      <selection activeCell="A21" sqref="A21:C40"/>
    </sheetView>
  </sheetViews>
  <sheetFormatPr defaultColWidth="9.140625" defaultRowHeight="12.75"/>
  <cols>
    <col min="1" max="1" width="19.7109375" style="32" customWidth="1"/>
    <col min="2" max="2" width="4.421875" style="15" customWidth="1"/>
    <col min="3" max="3" width="12.7109375" style="32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32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4" t="s">
        <v>57</v>
      </c>
      <c r="I1" s="45" t="s">
        <v>58</v>
      </c>
      <c r="J1" s="46" t="s">
        <v>59</v>
      </c>
    </row>
    <row r="2" spans="9:10" ht="12.75">
      <c r="I2" s="47" t="s">
        <v>60</v>
      </c>
      <c r="J2" s="48" t="s">
        <v>61</v>
      </c>
    </row>
    <row r="3" spans="1:10" ht="12.75">
      <c r="A3" s="49" t="s">
        <v>62</v>
      </c>
      <c r="I3" s="47" t="s">
        <v>63</v>
      </c>
      <c r="J3" s="48" t="s">
        <v>64</v>
      </c>
    </row>
    <row r="4" spans="9:10" ht="12.75">
      <c r="I4" s="47" t="s">
        <v>65</v>
      </c>
      <c r="J4" s="48" t="s">
        <v>64</v>
      </c>
    </row>
    <row r="5" spans="9:10" ht="13.5" thickBot="1">
      <c r="I5" s="50" t="s">
        <v>66</v>
      </c>
      <c r="J5" s="51" t="s">
        <v>67</v>
      </c>
    </row>
    <row r="10" ht="13.5" thickBot="1"/>
    <row r="11" spans="1:16" ht="12.75" customHeight="1" thickBot="1">
      <c r="A11" s="32" t="str">
        <f aca="true" t="shared" si="0" ref="A11:A40">P11</f>
        <v>BAVM 111 </v>
      </c>
      <c r="B11" s="5" t="str">
        <f aca="true" t="shared" si="1" ref="B11:B40">IF(H11=INT(H11),"I","II")</f>
        <v>I</v>
      </c>
      <c r="C11" s="32">
        <f aca="true" t="shared" si="2" ref="C11:C40">1*G11</f>
        <v>50823.4426</v>
      </c>
      <c r="D11" s="15" t="str">
        <f aca="true" t="shared" si="3" ref="D11:D40">VLOOKUP(F11,I$1:J$5,2,FALSE)</f>
        <v>vis</v>
      </c>
      <c r="E11" s="52">
        <f>VLOOKUP(C11,A!C$21:E$972,3,FALSE)</f>
        <v>27101.964859210893</v>
      </c>
      <c r="F11" s="5" t="s">
        <v>66</v>
      </c>
      <c r="G11" s="15" t="str">
        <f aca="true" t="shared" si="4" ref="G11:G40">MID(I11,3,LEN(I11)-3)</f>
        <v>50823.4426</v>
      </c>
      <c r="H11" s="32">
        <f aca="true" t="shared" si="5" ref="H11:H40">1*K11</f>
        <v>27102</v>
      </c>
      <c r="I11" s="53" t="s">
        <v>127</v>
      </c>
      <c r="J11" s="54" t="s">
        <v>128</v>
      </c>
      <c r="K11" s="53">
        <v>27102</v>
      </c>
      <c r="L11" s="53" t="s">
        <v>129</v>
      </c>
      <c r="M11" s="54" t="s">
        <v>123</v>
      </c>
      <c r="N11" s="54" t="s">
        <v>124</v>
      </c>
      <c r="O11" s="55" t="s">
        <v>130</v>
      </c>
      <c r="P11" s="56" t="s">
        <v>131</v>
      </c>
    </row>
    <row r="12" spans="1:16" ht="12.75" customHeight="1" thickBot="1">
      <c r="A12" s="32" t="str">
        <f t="shared" si="0"/>
        <v>BAVM 152 </v>
      </c>
      <c r="B12" s="5" t="str">
        <f t="shared" si="1"/>
        <v>II</v>
      </c>
      <c r="C12" s="32">
        <f t="shared" si="2"/>
        <v>51950.3781</v>
      </c>
      <c r="D12" s="15" t="str">
        <f t="shared" si="3"/>
        <v>vis</v>
      </c>
      <c r="E12" s="52">
        <f>VLOOKUP(C12,A!C$21:E$972,3,FALSE)</f>
        <v>28807.46631668843</v>
      </c>
      <c r="F12" s="5" t="s">
        <v>66</v>
      </c>
      <c r="G12" s="15" t="str">
        <f t="shared" si="4"/>
        <v>51950.3781</v>
      </c>
      <c r="H12" s="32">
        <f t="shared" si="5"/>
        <v>28807.5</v>
      </c>
      <c r="I12" s="53" t="s">
        <v>143</v>
      </c>
      <c r="J12" s="54" t="s">
        <v>144</v>
      </c>
      <c r="K12" s="53">
        <v>28807.5</v>
      </c>
      <c r="L12" s="53" t="s">
        <v>145</v>
      </c>
      <c r="M12" s="54" t="s">
        <v>123</v>
      </c>
      <c r="N12" s="54" t="s">
        <v>146</v>
      </c>
      <c r="O12" s="55" t="s">
        <v>130</v>
      </c>
      <c r="P12" s="56" t="s">
        <v>147</v>
      </c>
    </row>
    <row r="13" spans="1:16" ht="12.75" customHeight="1" thickBot="1">
      <c r="A13" s="32" t="str">
        <f t="shared" si="0"/>
        <v>OEJV 0074 </v>
      </c>
      <c r="B13" s="5" t="str">
        <f t="shared" si="1"/>
        <v>I</v>
      </c>
      <c r="C13" s="32">
        <f t="shared" si="2"/>
        <v>52321.3955</v>
      </c>
      <c r="D13" s="15" t="str">
        <f t="shared" si="3"/>
        <v>vis</v>
      </c>
      <c r="E13" s="52">
        <f>VLOOKUP(C13,A!C$21:E$972,3,FALSE)</f>
        <v>29368.9631516444</v>
      </c>
      <c r="F13" s="5" t="s">
        <v>66</v>
      </c>
      <c r="G13" s="15" t="str">
        <f t="shared" si="4"/>
        <v>52321.39550</v>
      </c>
      <c r="H13" s="32">
        <f t="shared" si="5"/>
        <v>29369</v>
      </c>
      <c r="I13" s="53" t="s">
        <v>148</v>
      </c>
      <c r="J13" s="54" t="s">
        <v>149</v>
      </c>
      <c r="K13" s="53" t="s">
        <v>150</v>
      </c>
      <c r="L13" s="53" t="s">
        <v>151</v>
      </c>
      <c r="M13" s="54" t="s">
        <v>152</v>
      </c>
      <c r="N13" s="54" t="s">
        <v>66</v>
      </c>
      <c r="O13" s="55" t="s">
        <v>153</v>
      </c>
      <c r="P13" s="56" t="s">
        <v>154</v>
      </c>
    </row>
    <row r="14" spans="1:16" ht="12.75" customHeight="1" thickBot="1">
      <c r="A14" s="32" t="str">
        <f t="shared" si="0"/>
        <v>IBVS 5502 </v>
      </c>
      <c r="B14" s="5" t="str">
        <f t="shared" si="1"/>
        <v>I</v>
      </c>
      <c r="C14" s="32">
        <f t="shared" si="2"/>
        <v>52647.8098</v>
      </c>
      <c r="D14" s="15" t="str">
        <f t="shared" si="3"/>
        <v>vis</v>
      </c>
      <c r="E14" s="52">
        <f>VLOOKUP(C14,A!C$21:E$972,3,FALSE)</f>
        <v>29862.957763040984</v>
      </c>
      <c r="F14" s="5" t="s">
        <v>66</v>
      </c>
      <c r="G14" s="15" t="str">
        <f t="shared" si="4"/>
        <v>52647.8098</v>
      </c>
      <c r="H14" s="32">
        <f t="shared" si="5"/>
        <v>29863</v>
      </c>
      <c r="I14" s="53" t="s">
        <v>155</v>
      </c>
      <c r="J14" s="54" t="s">
        <v>156</v>
      </c>
      <c r="K14" s="53" t="s">
        <v>157</v>
      </c>
      <c r="L14" s="53" t="s">
        <v>158</v>
      </c>
      <c r="M14" s="54" t="s">
        <v>123</v>
      </c>
      <c r="N14" s="54" t="s">
        <v>135</v>
      </c>
      <c r="O14" s="55" t="s">
        <v>159</v>
      </c>
      <c r="P14" s="56" t="s">
        <v>160</v>
      </c>
    </row>
    <row r="15" spans="1:16" ht="12.75" customHeight="1" thickBot="1">
      <c r="A15" s="32" t="str">
        <f t="shared" si="0"/>
        <v>BAVM 158 </v>
      </c>
      <c r="B15" s="5" t="str">
        <f t="shared" si="1"/>
        <v>I</v>
      </c>
      <c r="C15" s="32">
        <f t="shared" si="2"/>
        <v>52695.3848</v>
      </c>
      <c r="D15" s="15" t="str">
        <f t="shared" si="3"/>
        <v>vis</v>
      </c>
      <c r="E15" s="52">
        <f>VLOOKUP(C15,A!C$21:E$972,3,FALSE)</f>
        <v>29934.957652865636</v>
      </c>
      <c r="F15" s="5" t="s">
        <v>66</v>
      </c>
      <c r="G15" s="15" t="str">
        <f t="shared" si="4"/>
        <v>52695.3848</v>
      </c>
      <c r="H15" s="32">
        <f t="shared" si="5"/>
        <v>29935</v>
      </c>
      <c r="I15" s="53" t="s">
        <v>161</v>
      </c>
      <c r="J15" s="54" t="s">
        <v>162</v>
      </c>
      <c r="K15" s="53" t="s">
        <v>163</v>
      </c>
      <c r="L15" s="53" t="s">
        <v>164</v>
      </c>
      <c r="M15" s="54" t="s">
        <v>123</v>
      </c>
      <c r="N15" s="54" t="s">
        <v>146</v>
      </c>
      <c r="O15" s="55" t="s">
        <v>125</v>
      </c>
      <c r="P15" s="56" t="s">
        <v>165</v>
      </c>
    </row>
    <row r="16" spans="1:16" ht="12.75" customHeight="1" thickBot="1">
      <c r="A16" s="32" t="str">
        <f t="shared" si="0"/>
        <v>IBVS 5760 </v>
      </c>
      <c r="B16" s="5" t="str">
        <f t="shared" si="1"/>
        <v>II</v>
      </c>
      <c r="C16" s="32">
        <f t="shared" si="2"/>
        <v>53784.6559</v>
      </c>
      <c r="D16" s="15" t="str">
        <f t="shared" si="3"/>
        <v>vis</v>
      </c>
      <c r="E16" s="52">
        <f>VLOOKUP(C16,A!C$21:E$972,3,FALSE)</f>
        <v>31583.45789856573</v>
      </c>
      <c r="F16" s="5" t="s">
        <v>66</v>
      </c>
      <c r="G16" s="15" t="str">
        <f t="shared" si="4"/>
        <v>53784.6559</v>
      </c>
      <c r="H16" s="32">
        <f t="shared" si="5"/>
        <v>31583.5</v>
      </c>
      <c r="I16" s="53" t="s">
        <v>166</v>
      </c>
      <c r="J16" s="54" t="s">
        <v>167</v>
      </c>
      <c r="K16" s="53" t="s">
        <v>168</v>
      </c>
      <c r="L16" s="53" t="s">
        <v>169</v>
      </c>
      <c r="M16" s="54" t="s">
        <v>152</v>
      </c>
      <c r="N16" s="54" t="s">
        <v>170</v>
      </c>
      <c r="O16" s="55" t="s">
        <v>171</v>
      </c>
      <c r="P16" s="56" t="s">
        <v>172</v>
      </c>
    </row>
    <row r="17" spans="1:16" ht="12.75" customHeight="1" thickBot="1">
      <c r="A17" s="32" t="str">
        <f t="shared" si="0"/>
        <v>BAVM 186 </v>
      </c>
      <c r="B17" s="5" t="str">
        <f t="shared" si="1"/>
        <v>I</v>
      </c>
      <c r="C17" s="32">
        <f t="shared" si="2"/>
        <v>54154.3478</v>
      </c>
      <c r="D17" s="15" t="str">
        <f t="shared" si="3"/>
        <v>vis</v>
      </c>
      <c r="E17" s="52">
        <f>VLOOKUP(C17,A!C$21:E$972,3,FALSE)</f>
        <v>32142.948725030645</v>
      </c>
      <c r="F17" s="5" t="s">
        <v>66</v>
      </c>
      <c r="G17" s="15" t="str">
        <f t="shared" si="4"/>
        <v>54154.3478</v>
      </c>
      <c r="H17" s="32">
        <f t="shared" si="5"/>
        <v>32143</v>
      </c>
      <c r="I17" s="53" t="s">
        <v>173</v>
      </c>
      <c r="J17" s="54" t="s">
        <v>174</v>
      </c>
      <c r="K17" s="53" t="s">
        <v>175</v>
      </c>
      <c r="L17" s="53" t="s">
        <v>176</v>
      </c>
      <c r="M17" s="54" t="s">
        <v>152</v>
      </c>
      <c r="N17" s="54" t="s">
        <v>146</v>
      </c>
      <c r="O17" s="55" t="s">
        <v>125</v>
      </c>
      <c r="P17" s="56" t="s">
        <v>177</v>
      </c>
    </row>
    <row r="18" spans="1:16" ht="12.75" customHeight="1" thickBot="1">
      <c r="A18" s="32" t="str">
        <f t="shared" si="0"/>
        <v>BAVM 209 </v>
      </c>
      <c r="B18" s="5" t="str">
        <f t="shared" si="1"/>
        <v>II</v>
      </c>
      <c r="C18" s="32">
        <f t="shared" si="2"/>
        <v>54840.5507</v>
      </c>
      <c r="D18" s="15" t="str">
        <f t="shared" si="3"/>
        <v>vis</v>
      </c>
      <c r="E18" s="52">
        <f>VLOOKUP(C18,A!C$21:E$972,3,FALSE)</f>
        <v>33181.446532647235</v>
      </c>
      <c r="F18" s="5" t="s">
        <v>66</v>
      </c>
      <c r="G18" s="15" t="str">
        <f t="shared" si="4"/>
        <v>54840.5507</v>
      </c>
      <c r="H18" s="32">
        <f t="shared" si="5"/>
        <v>33181.5</v>
      </c>
      <c r="I18" s="53" t="s">
        <v>178</v>
      </c>
      <c r="J18" s="54" t="s">
        <v>179</v>
      </c>
      <c r="K18" s="53" t="s">
        <v>180</v>
      </c>
      <c r="L18" s="53" t="s">
        <v>181</v>
      </c>
      <c r="M18" s="54" t="s">
        <v>152</v>
      </c>
      <c r="N18" s="54" t="s">
        <v>146</v>
      </c>
      <c r="O18" s="55" t="s">
        <v>125</v>
      </c>
      <c r="P18" s="56" t="s">
        <v>182</v>
      </c>
    </row>
    <row r="19" spans="1:16" ht="12.75" customHeight="1" thickBot="1">
      <c r="A19" s="32" t="str">
        <f t="shared" si="0"/>
        <v>BAVM 209 </v>
      </c>
      <c r="B19" s="5" t="str">
        <f t="shared" si="1"/>
        <v>I</v>
      </c>
      <c r="C19" s="32">
        <f t="shared" si="2"/>
        <v>54841.5455</v>
      </c>
      <c r="D19" s="15" t="str">
        <f t="shared" si="3"/>
        <v>vis</v>
      </c>
      <c r="E19" s="52">
        <f>VLOOKUP(C19,A!C$21:E$972,3,FALSE)</f>
        <v>33182.952060558906</v>
      </c>
      <c r="F19" s="5" t="s">
        <v>66</v>
      </c>
      <c r="G19" s="15" t="str">
        <f t="shared" si="4"/>
        <v>54841.5455</v>
      </c>
      <c r="H19" s="32">
        <f t="shared" si="5"/>
        <v>33183</v>
      </c>
      <c r="I19" s="53" t="s">
        <v>183</v>
      </c>
      <c r="J19" s="54" t="s">
        <v>184</v>
      </c>
      <c r="K19" s="53" t="s">
        <v>185</v>
      </c>
      <c r="L19" s="53" t="s">
        <v>186</v>
      </c>
      <c r="M19" s="54" t="s">
        <v>152</v>
      </c>
      <c r="N19" s="54" t="s">
        <v>146</v>
      </c>
      <c r="O19" s="55" t="s">
        <v>125</v>
      </c>
      <c r="P19" s="56" t="s">
        <v>182</v>
      </c>
    </row>
    <row r="20" spans="1:16" ht="12.75" customHeight="1" thickBot="1">
      <c r="A20" s="32" t="str">
        <f t="shared" si="0"/>
        <v>IBVS 5992 </v>
      </c>
      <c r="B20" s="5" t="str">
        <f t="shared" si="1"/>
        <v>I</v>
      </c>
      <c r="C20" s="32">
        <f t="shared" si="2"/>
        <v>55604.7268</v>
      </c>
      <c r="D20" s="15" t="str">
        <f t="shared" si="3"/>
        <v>vis</v>
      </c>
      <c r="E20" s="52">
        <f>VLOOKUP(C20,A!C$21:E$972,3,FALSE)</f>
        <v>34337.948792376825</v>
      </c>
      <c r="F20" s="5" t="s">
        <v>66</v>
      </c>
      <c r="G20" s="15" t="str">
        <f t="shared" si="4"/>
        <v>55604.7268</v>
      </c>
      <c r="H20" s="32">
        <f t="shared" si="5"/>
        <v>34338</v>
      </c>
      <c r="I20" s="53" t="s">
        <v>187</v>
      </c>
      <c r="J20" s="54" t="s">
        <v>188</v>
      </c>
      <c r="K20" s="53" t="s">
        <v>189</v>
      </c>
      <c r="L20" s="53" t="s">
        <v>190</v>
      </c>
      <c r="M20" s="54" t="s">
        <v>152</v>
      </c>
      <c r="N20" s="54" t="s">
        <v>66</v>
      </c>
      <c r="O20" s="55" t="s">
        <v>191</v>
      </c>
      <c r="P20" s="56" t="s">
        <v>192</v>
      </c>
    </row>
    <row r="21" spans="1:16" ht="12.75" customHeight="1" thickBot="1">
      <c r="A21" s="32" t="str">
        <f t="shared" si="0"/>
        <v> AHSB 7.7.353 </v>
      </c>
      <c r="B21" s="5" t="str">
        <f t="shared" si="1"/>
        <v>I</v>
      </c>
      <c r="C21" s="32">
        <f t="shared" si="2"/>
        <v>29302.345</v>
      </c>
      <c r="D21" s="15" t="str">
        <f t="shared" si="3"/>
        <v>vis</v>
      </c>
      <c r="E21" s="52">
        <f>VLOOKUP(C21,A!C$21:E$972,3,FALSE)</f>
        <v>-5468.012147739691</v>
      </c>
      <c r="F21" s="5" t="s">
        <v>66</v>
      </c>
      <c r="G21" s="15" t="str">
        <f t="shared" si="4"/>
        <v>29302.345</v>
      </c>
      <c r="H21" s="32">
        <f t="shared" si="5"/>
        <v>-5468</v>
      </c>
      <c r="I21" s="53" t="s">
        <v>69</v>
      </c>
      <c r="J21" s="54" t="s">
        <v>70</v>
      </c>
      <c r="K21" s="53">
        <v>-5468</v>
      </c>
      <c r="L21" s="53" t="s">
        <v>71</v>
      </c>
      <c r="M21" s="54" t="s">
        <v>72</v>
      </c>
      <c r="N21" s="54"/>
      <c r="O21" s="55" t="s">
        <v>73</v>
      </c>
      <c r="P21" s="55" t="s">
        <v>74</v>
      </c>
    </row>
    <row r="22" spans="1:16" ht="12.75" customHeight="1" thickBot="1">
      <c r="A22" s="32" t="str">
        <f t="shared" si="0"/>
        <v> AHSB 7.7.353 </v>
      </c>
      <c r="B22" s="5" t="str">
        <f t="shared" si="1"/>
        <v>I</v>
      </c>
      <c r="C22" s="32">
        <f t="shared" si="2"/>
        <v>29615.558</v>
      </c>
      <c r="D22" s="15" t="str">
        <f t="shared" si="3"/>
        <v>vis</v>
      </c>
      <c r="E22" s="52">
        <f>VLOOKUP(C22,A!C$21:E$972,3,FALSE)</f>
        <v>-4993.9963518037985</v>
      </c>
      <c r="F22" s="5" t="s">
        <v>66</v>
      </c>
      <c r="G22" s="15" t="str">
        <f t="shared" si="4"/>
        <v>29615.558</v>
      </c>
      <c r="H22" s="32">
        <f t="shared" si="5"/>
        <v>-4994</v>
      </c>
      <c r="I22" s="53" t="s">
        <v>75</v>
      </c>
      <c r="J22" s="54" t="s">
        <v>76</v>
      </c>
      <c r="K22" s="53">
        <v>-4994</v>
      </c>
      <c r="L22" s="53" t="s">
        <v>77</v>
      </c>
      <c r="M22" s="54" t="s">
        <v>72</v>
      </c>
      <c r="N22" s="54"/>
      <c r="O22" s="55" t="s">
        <v>73</v>
      </c>
      <c r="P22" s="55" t="s">
        <v>74</v>
      </c>
    </row>
    <row r="23" spans="1:16" ht="12.75" customHeight="1" thickBot="1">
      <c r="A23" s="32" t="str">
        <f t="shared" si="0"/>
        <v> AHSB 7.7.353 </v>
      </c>
      <c r="B23" s="5" t="str">
        <f t="shared" si="1"/>
        <v>I</v>
      </c>
      <c r="C23" s="32">
        <f t="shared" si="2"/>
        <v>30085.37</v>
      </c>
      <c r="D23" s="15" t="str">
        <f t="shared" si="3"/>
        <v>vis</v>
      </c>
      <c r="E23" s="52">
        <f>VLOOKUP(C23,A!C$21:E$972,3,FALSE)</f>
        <v>-4282.984008381807</v>
      </c>
      <c r="F23" s="5" t="s">
        <v>66</v>
      </c>
      <c r="G23" s="15" t="str">
        <f t="shared" si="4"/>
        <v>30085.370</v>
      </c>
      <c r="H23" s="32">
        <f t="shared" si="5"/>
        <v>-4283</v>
      </c>
      <c r="I23" s="53" t="s">
        <v>78</v>
      </c>
      <c r="J23" s="54" t="s">
        <v>79</v>
      </c>
      <c r="K23" s="53">
        <v>-4283</v>
      </c>
      <c r="L23" s="53" t="s">
        <v>80</v>
      </c>
      <c r="M23" s="54" t="s">
        <v>72</v>
      </c>
      <c r="N23" s="54"/>
      <c r="O23" s="55" t="s">
        <v>73</v>
      </c>
      <c r="P23" s="55" t="s">
        <v>74</v>
      </c>
    </row>
    <row r="24" spans="1:16" ht="12.75" customHeight="1" thickBot="1">
      <c r="A24" s="32" t="str">
        <f t="shared" si="0"/>
        <v> AHSB 7.7.353 </v>
      </c>
      <c r="B24" s="5" t="str">
        <f t="shared" si="1"/>
        <v>I</v>
      </c>
      <c r="C24" s="32">
        <f t="shared" si="2"/>
        <v>32862.55</v>
      </c>
      <c r="D24" s="15" t="str">
        <f t="shared" si="3"/>
        <v>vis</v>
      </c>
      <c r="E24" s="52">
        <f>VLOOKUP(C24,A!C$21:E$972,3,FALSE)</f>
        <v>-80.0065197167705</v>
      </c>
      <c r="F24" s="5" t="s">
        <v>66</v>
      </c>
      <c r="G24" s="15" t="str">
        <f t="shared" si="4"/>
        <v>32862.550</v>
      </c>
      <c r="H24" s="32">
        <f t="shared" si="5"/>
        <v>-80</v>
      </c>
      <c r="I24" s="53" t="s">
        <v>81</v>
      </c>
      <c r="J24" s="54" t="s">
        <v>82</v>
      </c>
      <c r="K24" s="53">
        <v>-80</v>
      </c>
      <c r="L24" s="53" t="s">
        <v>83</v>
      </c>
      <c r="M24" s="54" t="s">
        <v>72</v>
      </c>
      <c r="N24" s="54"/>
      <c r="O24" s="55" t="s">
        <v>73</v>
      </c>
      <c r="P24" s="55" t="s">
        <v>74</v>
      </c>
    </row>
    <row r="25" spans="1:16" ht="12.75" customHeight="1" thickBot="1">
      <c r="A25" s="32" t="str">
        <f t="shared" si="0"/>
        <v> AHSB 7.7.353 </v>
      </c>
      <c r="B25" s="5" t="str">
        <f t="shared" si="1"/>
        <v>I</v>
      </c>
      <c r="C25" s="32">
        <f t="shared" si="2"/>
        <v>32909.465</v>
      </c>
      <c r="D25" s="15" t="str">
        <f t="shared" si="3"/>
        <v>vis</v>
      </c>
      <c r="E25" s="52">
        <f>VLOOKUP(C25,A!C$21:E$972,3,FALSE)</f>
        <v>-9.005472294315704</v>
      </c>
      <c r="F25" s="5" t="s">
        <v>66</v>
      </c>
      <c r="G25" s="15" t="str">
        <f t="shared" si="4"/>
        <v>32909.465</v>
      </c>
      <c r="H25" s="32">
        <f t="shared" si="5"/>
        <v>-9</v>
      </c>
      <c r="I25" s="53" t="s">
        <v>84</v>
      </c>
      <c r="J25" s="54" t="s">
        <v>85</v>
      </c>
      <c r="K25" s="53">
        <v>-9</v>
      </c>
      <c r="L25" s="53" t="s">
        <v>83</v>
      </c>
      <c r="M25" s="54" t="s">
        <v>72</v>
      </c>
      <c r="N25" s="54"/>
      <c r="O25" s="55" t="s">
        <v>73</v>
      </c>
      <c r="P25" s="55" t="s">
        <v>74</v>
      </c>
    </row>
    <row r="26" spans="1:16" ht="12.75" customHeight="1" thickBot="1">
      <c r="A26" s="32" t="str">
        <f t="shared" si="0"/>
        <v> AHSB 7.7.353 </v>
      </c>
      <c r="B26" s="5" t="str">
        <f t="shared" si="1"/>
        <v>I</v>
      </c>
      <c r="C26" s="32">
        <f t="shared" si="2"/>
        <v>32915.41</v>
      </c>
      <c r="D26" s="15" t="str">
        <f t="shared" si="3"/>
        <v>vis</v>
      </c>
      <c r="E26" s="52">
        <f>VLOOKUP(C26,A!C$21:E$972,3,FALSE)</f>
        <v>-0.008323686683874261</v>
      </c>
      <c r="F26" s="5" t="s">
        <v>66</v>
      </c>
      <c r="G26" s="15" t="str">
        <f t="shared" si="4"/>
        <v>32915.410</v>
      </c>
      <c r="H26" s="32">
        <f t="shared" si="5"/>
        <v>0</v>
      </c>
      <c r="I26" s="53" t="s">
        <v>86</v>
      </c>
      <c r="J26" s="54" t="s">
        <v>87</v>
      </c>
      <c r="K26" s="53">
        <v>0</v>
      </c>
      <c r="L26" s="53" t="s">
        <v>88</v>
      </c>
      <c r="M26" s="54" t="s">
        <v>72</v>
      </c>
      <c r="N26" s="54"/>
      <c r="O26" s="55" t="s">
        <v>73</v>
      </c>
      <c r="P26" s="55" t="s">
        <v>74</v>
      </c>
    </row>
    <row r="27" spans="1:16" ht="12.75" customHeight="1" thickBot="1">
      <c r="A27" s="32" t="str">
        <f t="shared" si="0"/>
        <v> AHSB 7.7.353 </v>
      </c>
      <c r="B27" s="5" t="str">
        <f t="shared" si="1"/>
        <v>I</v>
      </c>
      <c r="C27" s="32">
        <f t="shared" si="2"/>
        <v>33330.375</v>
      </c>
      <c r="D27" s="15" t="str">
        <f t="shared" si="3"/>
        <v>vis</v>
      </c>
      <c r="E27" s="52">
        <f>VLOOKUP(C27,A!C$21:E$972,3,FALSE)</f>
        <v>627.998702715591</v>
      </c>
      <c r="F27" s="5" t="s">
        <v>66</v>
      </c>
      <c r="G27" s="15" t="str">
        <f t="shared" si="4"/>
        <v>33330.375</v>
      </c>
      <c r="H27" s="32">
        <f t="shared" si="5"/>
        <v>628</v>
      </c>
      <c r="I27" s="53" t="s">
        <v>89</v>
      </c>
      <c r="J27" s="54" t="s">
        <v>90</v>
      </c>
      <c r="K27" s="53">
        <v>628</v>
      </c>
      <c r="L27" s="53" t="s">
        <v>91</v>
      </c>
      <c r="M27" s="54" t="s">
        <v>72</v>
      </c>
      <c r="N27" s="54"/>
      <c r="O27" s="55" t="s">
        <v>73</v>
      </c>
      <c r="P27" s="55" t="s">
        <v>74</v>
      </c>
    </row>
    <row r="28" spans="1:16" ht="12.75" customHeight="1" thickBot="1">
      <c r="A28" s="32" t="str">
        <f t="shared" si="0"/>
        <v> AHSB 7.7.353 </v>
      </c>
      <c r="B28" s="5" t="str">
        <f t="shared" si="1"/>
        <v>I</v>
      </c>
      <c r="C28" s="32">
        <f t="shared" si="2"/>
        <v>33702.375</v>
      </c>
      <c r="D28" s="15" t="str">
        <f t="shared" si="3"/>
        <v>vis</v>
      </c>
      <c r="E28" s="52">
        <f>VLOOKUP(C28,A!C$21:E$972,3,FALSE)</f>
        <v>1190.9826021327665</v>
      </c>
      <c r="F28" s="5" t="s">
        <v>66</v>
      </c>
      <c r="G28" s="15" t="str">
        <f t="shared" si="4"/>
        <v>33702.375</v>
      </c>
      <c r="H28" s="32">
        <f t="shared" si="5"/>
        <v>1191</v>
      </c>
      <c r="I28" s="53" t="s">
        <v>92</v>
      </c>
      <c r="J28" s="54" t="s">
        <v>93</v>
      </c>
      <c r="K28" s="53">
        <v>1191</v>
      </c>
      <c r="L28" s="53" t="s">
        <v>94</v>
      </c>
      <c r="M28" s="54" t="s">
        <v>72</v>
      </c>
      <c r="N28" s="54"/>
      <c r="O28" s="55" t="s">
        <v>73</v>
      </c>
      <c r="P28" s="55" t="s">
        <v>74</v>
      </c>
    </row>
    <row r="29" spans="1:16" ht="12.75" customHeight="1" thickBot="1">
      <c r="A29" s="32" t="str">
        <f t="shared" si="0"/>
        <v> AHSB 7.7.353 </v>
      </c>
      <c r="B29" s="5" t="str">
        <f t="shared" si="1"/>
        <v>I</v>
      </c>
      <c r="C29" s="32">
        <f t="shared" si="2"/>
        <v>33706.372</v>
      </c>
      <c r="D29" s="15" t="str">
        <f t="shared" si="3"/>
        <v>vis</v>
      </c>
      <c r="E29" s="52">
        <f>VLOOKUP(C29,A!C$21:E$972,3,FALSE)</f>
        <v>1197.0316522563476</v>
      </c>
      <c r="F29" s="5" t="s">
        <v>66</v>
      </c>
      <c r="G29" s="15" t="str">
        <f t="shared" si="4"/>
        <v>33706.372</v>
      </c>
      <c r="H29" s="32">
        <f t="shared" si="5"/>
        <v>1197</v>
      </c>
      <c r="I29" s="53" t="s">
        <v>95</v>
      </c>
      <c r="J29" s="54" t="s">
        <v>96</v>
      </c>
      <c r="K29" s="53">
        <v>1197</v>
      </c>
      <c r="L29" s="53" t="s">
        <v>97</v>
      </c>
      <c r="M29" s="54" t="s">
        <v>72</v>
      </c>
      <c r="N29" s="54"/>
      <c r="O29" s="55" t="s">
        <v>73</v>
      </c>
      <c r="P29" s="55" t="s">
        <v>74</v>
      </c>
    </row>
    <row r="30" spans="1:16" ht="12.75" customHeight="1" thickBot="1">
      <c r="A30" s="32" t="str">
        <f t="shared" si="0"/>
        <v> AHSB 7.7.353 </v>
      </c>
      <c r="B30" s="5" t="str">
        <f t="shared" si="1"/>
        <v>I</v>
      </c>
      <c r="C30" s="32">
        <f t="shared" si="2"/>
        <v>34068.42</v>
      </c>
      <c r="D30" s="15" t="str">
        <f t="shared" si="3"/>
        <v>vis</v>
      </c>
      <c r="E30" s="52">
        <f>VLOOKUP(C30,A!C$21:E$972,3,FALSE)</f>
        <v>1744.9542189665272</v>
      </c>
      <c r="F30" s="5" t="s">
        <v>66</v>
      </c>
      <c r="G30" s="15" t="str">
        <f t="shared" si="4"/>
        <v>34068.420</v>
      </c>
      <c r="H30" s="32">
        <f t="shared" si="5"/>
        <v>1745</v>
      </c>
      <c r="I30" s="53" t="s">
        <v>98</v>
      </c>
      <c r="J30" s="54" t="s">
        <v>99</v>
      </c>
      <c r="K30" s="53">
        <v>1745</v>
      </c>
      <c r="L30" s="53" t="s">
        <v>100</v>
      </c>
      <c r="M30" s="54" t="s">
        <v>72</v>
      </c>
      <c r="N30" s="54"/>
      <c r="O30" s="55" t="s">
        <v>73</v>
      </c>
      <c r="P30" s="55" t="s">
        <v>74</v>
      </c>
    </row>
    <row r="31" spans="1:16" ht="12.75" customHeight="1" thickBot="1">
      <c r="A31" s="32" t="str">
        <f t="shared" si="0"/>
        <v> AHSB 7.7.353 </v>
      </c>
      <c r="B31" s="5" t="str">
        <f t="shared" si="1"/>
        <v>I</v>
      </c>
      <c r="C31" s="32">
        <f t="shared" si="2"/>
        <v>34086.3</v>
      </c>
      <c r="D31" s="15" t="str">
        <f t="shared" si="3"/>
        <v>vis</v>
      </c>
      <c r="E31" s="52">
        <f>VLOOKUP(C31,A!C$21:E$972,3,FALSE)</f>
        <v>1772.0137676804566</v>
      </c>
      <c r="F31" s="5" t="s">
        <v>66</v>
      </c>
      <c r="G31" s="15" t="str">
        <f t="shared" si="4"/>
        <v>34086.300</v>
      </c>
      <c r="H31" s="32">
        <f t="shared" si="5"/>
        <v>1772</v>
      </c>
      <c r="I31" s="53" t="s">
        <v>101</v>
      </c>
      <c r="J31" s="54" t="s">
        <v>102</v>
      </c>
      <c r="K31" s="53">
        <v>1772</v>
      </c>
      <c r="L31" s="53" t="s">
        <v>103</v>
      </c>
      <c r="M31" s="54" t="s">
        <v>72</v>
      </c>
      <c r="N31" s="54"/>
      <c r="O31" s="55" t="s">
        <v>73</v>
      </c>
      <c r="P31" s="55" t="s">
        <v>74</v>
      </c>
    </row>
    <row r="32" spans="1:16" ht="12.75" customHeight="1" thickBot="1">
      <c r="A32" s="32" t="str">
        <f t="shared" si="0"/>
        <v> AHSB 7.7.353 </v>
      </c>
      <c r="B32" s="5" t="str">
        <f t="shared" si="1"/>
        <v>I</v>
      </c>
      <c r="C32" s="32">
        <f t="shared" si="2"/>
        <v>34748.39</v>
      </c>
      <c r="D32" s="15" t="str">
        <f t="shared" si="3"/>
        <v>vis</v>
      </c>
      <c r="E32" s="52">
        <f>VLOOKUP(C32,A!C$21:E$972,3,FALSE)</f>
        <v>2774.019170812488</v>
      </c>
      <c r="F32" s="5" t="s">
        <v>66</v>
      </c>
      <c r="G32" s="15" t="str">
        <f t="shared" si="4"/>
        <v>34748.390</v>
      </c>
      <c r="H32" s="32">
        <f t="shared" si="5"/>
        <v>2774</v>
      </c>
      <c r="I32" s="53" t="s">
        <v>104</v>
      </c>
      <c r="J32" s="54" t="s">
        <v>105</v>
      </c>
      <c r="K32" s="53">
        <v>2774</v>
      </c>
      <c r="L32" s="53" t="s">
        <v>106</v>
      </c>
      <c r="M32" s="54" t="s">
        <v>72</v>
      </c>
      <c r="N32" s="54"/>
      <c r="O32" s="55" t="s">
        <v>73</v>
      </c>
      <c r="P32" s="55" t="s">
        <v>74</v>
      </c>
    </row>
    <row r="33" spans="1:16" ht="12.75" customHeight="1" thickBot="1">
      <c r="A33" s="32" t="str">
        <f t="shared" si="0"/>
        <v> AHSB 7.7.353 </v>
      </c>
      <c r="B33" s="5" t="str">
        <f t="shared" si="1"/>
        <v>I</v>
      </c>
      <c r="C33" s="32">
        <f t="shared" si="2"/>
        <v>34769.515</v>
      </c>
      <c r="D33" s="15" t="str">
        <f t="shared" si="3"/>
        <v>vis</v>
      </c>
      <c r="E33" s="52">
        <f>VLOOKUP(C33,A!C$21:E$972,3,FALSE)</f>
        <v>2805.98969467052</v>
      </c>
      <c r="F33" s="5" t="s">
        <v>66</v>
      </c>
      <c r="G33" s="15" t="str">
        <f t="shared" si="4"/>
        <v>34769.515</v>
      </c>
      <c r="H33" s="32">
        <f t="shared" si="5"/>
        <v>2806</v>
      </c>
      <c r="I33" s="53" t="s">
        <v>107</v>
      </c>
      <c r="J33" s="54" t="s">
        <v>108</v>
      </c>
      <c r="K33" s="53">
        <v>2806</v>
      </c>
      <c r="L33" s="53" t="s">
        <v>109</v>
      </c>
      <c r="M33" s="54" t="s">
        <v>72</v>
      </c>
      <c r="N33" s="54"/>
      <c r="O33" s="55" t="s">
        <v>73</v>
      </c>
      <c r="P33" s="55" t="s">
        <v>74</v>
      </c>
    </row>
    <row r="34" spans="1:16" ht="12.75" customHeight="1" thickBot="1">
      <c r="A34" s="32" t="str">
        <f t="shared" si="0"/>
        <v> AHSB 7.7.353 </v>
      </c>
      <c r="B34" s="5" t="str">
        <f t="shared" si="1"/>
        <v>I</v>
      </c>
      <c r="C34" s="32">
        <f t="shared" si="2"/>
        <v>34781.42</v>
      </c>
      <c r="D34" s="15" t="str">
        <f t="shared" si="3"/>
        <v>vis</v>
      </c>
      <c r="E34" s="52">
        <f>VLOOKUP(C34,A!C$21:E$972,3,FALSE)</f>
        <v>2824.006692849447</v>
      </c>
      <c r="F34" s="5" t="s">
        <v>66</v>
      </c>
      <c r="G34" s="15" t="str">
        <f t="shared" si="4"/>
        <v>34781.420</v>
      </c>
      <c r="H34" s="32">
        <f t="shared" si="5"/>
        <v>2824</v>
      </c>
      <c r="I34" s="53" t="s">
        <v>110</v>
      </c>
      <c r="J34" s="54" t="s">
        <v>111</v>
      </c>
      <c r="K34" s="53">
        <v>2824</v>
      </c>
      <c r="L34" s="53" t="s">
        <v>112</v>
      </c>
      <c r="M34" s="54" t="s">
        <v>72</v>
      </c>
      <c r="N34" s="54"/>
      <c r="O34" s="55" t="s">
        <v>73</v>
      </c>
      <c r="P34" s="55" t="s">
        <v>74</v>
      </c>
    </row>
    <row r="35" spans="1:16" ht="12.75" customHeight="1" thickBot="1">
      <c r="A35" s="32" t="str">
        <f t="shared" si="0"/>
        <v> AHSB 7.7.353 </v>
      </c>
      <c r="B35" s="5" t="str">
        <f t="shared" si="1"/>
        <v>I</v>
      </c>
      <c r="C35" s="32">
        <f t="shared" si="2"/>
        <v>35161.36</v>
      </c>
      <c r="D35" s="15" t="str">
        <f t="shared" si="3"/>
        <v>vis</v>
      </c>
      <c r="E35" s="52">
        <f>VLOOKUP(C35,A!C$21:E$972,3,FALSE)</f>
        <v>3399.0069690445084</v>
      </c>
      <c r="F35" s="5" t="s">
        <v>66</v>
      </c>
      <c r="G35" s="15" t="str">
        <f t="shared" si="4"/>
        <v>35161.360</v>
      </c>
      <c r="H35" s="32">
        <f t="shared" si="5"/>
        <v>3399</v>
      </c>
      <c r="I35" s="53" t="s">
        <v>113</v>
      </c>
      <c r="J35" s="54" t="s">
        <v>114</v>
      </c>
      <c r="K35" s="53">
        <v>3399</v>
      </c>
      <c r="L35" s="53" t="s">
        <v>115</v>
      </c>
      <c r="M35" s="54" t="s">
        <v>72</v>
      </c>
      <c r="N35" s="54"/>
      <c r="O35" s="55" t="s">
        <v>73</v>
      </c>
      <c r="P35" s="55" t="s">
        <v>74</v>
      </c>
    </row>
    <row r="36" spans="1:16" ht="12.75" customHeight="1" thickBot="1">
      <c r="A36" s="32" t="str">
        <f t="shared" si="0"/>
        <v> AHSB 7.7.353 </v>
      </c>
      <c r="B36" s="5" t="str">
        <f t="shared" si="1"/>
        <v>I</v>
      </c>
      <c r="C36" s="32">
        <f t="shared" si="2"/>
        <v>35163.335</v>
      </c>
      <c r="D36" s="15" t="str">
        <f t="shared" si="3"/>
        <v>vis</v>
      </c>
      <c r="E36" s="52">
        <f>VLOOKUP(C36,A!C$21:E$972,3,FALSE)</f>
        <v>3401.995929263186</v>
      </c>
      <c r="F36" s="5" t="s">
        <v>66</v>
      </c>
      <c r="G36" s="15" t="str">
        <f t="shared" si="4"/>
        <v>35163.335</v>
      </c>
      <c r="H36" s="32">
        <f t="shared" si="5"/>
        <v>3402</v>
      </c>
      <c r="I36" s="53" t="s">
        <v>116</v>
      </c>
      <c r="J36" s="54" t="s">
        <v>117</v>
      </c>
      <c r="K36" s="53">
        <v>3402</v>
      </c>
      <c r="L36" s="53" t="s">
        <v>68</v>
      </c>
      <c r="M36" s="54" t="s">
        <v>72</v>
      </c>
      <c r="N36" s="54"/>
      <c r="O36" s="55" t="s">
        <v>73</v>
      </c>
      <c r="P36" s="55" t="s">
        <v>74</v>
      </c>
    </row>
    <row r="37" spans="1:16" ht="12.75" customHeight="1" thickBot="1">
      <c r="A37" s="32" t="str">
        <f t="shared" si="0"/>
        <v> AHSB 7.7.353 </v>
      </c>
      <c r="B37" s="5" t="str">
        <f t="shared" si="1"/>
        <v>I</v>
      </c>
      <c r="C37" s="32">
        <f t="shared" si="2"/>
        <v>35165.325</v>
      </c>
      <c r="D37" s="15" t="str">
        <f t="shared" si="3"/>
        <v>vis</v>
      </c>
      <c r="E37" s="52">
        <f>VLOOKUP(C37,A!C$21:E$972,3,FALSE)</f>
        <v>3405.0075904455493</v>
      </c>
      <c r="F37" s="5" t="s">
        <v>66</v>
      </c>
      <c r="G37" s="15" t="str">
        <f t="shared" si="4"/>
        <v>35165.325</v>
      </c>
      <c r="H37" s="32">
        <f t="shared" si="5"/>
        <v>3405</v>
      </c>
      <c r="I37" s="53" t="s">
        <v>118</v>
      </c>
      <c r="J37" s="54" t="s">
        <v>119</v>
      </c>
      <c r="K37" s="53">
        <v>3405</v>
      </c>
      <c r="L37" s="53" t="s">
        <v>115</v>
      </c>
      <c r="M37" s="54" t="s">
        <v>72</v>
      </c>
      <c r="N37" s="54"/>
      <c r="O37" s="55" t="s">
        <v>73</v>
      </c>
      <c r="P37" s="55" t="s">
        <v>74</v>
      </c>
    </row>
    <row r="38" spans="1:16" ht="12.75" customHeight="1" thickBot="1">
      <c r="A38" s="32" t="str">
        <f t="shared" si="0"/>
        <v>BAVM 68 </v>
      </c>
      <c r="B38" s="5" t="str">
        <f t="shared" si="1"/>
        <v>I</v>
      </c>
      <c r="C38" s="32">
        <f t="shared" si="2"/>
        <v>49372.3975</v>
      </c>
      <c r="D38" s="15" t="str">
        <f t="shared" si="3"/>
        <v>vis</v>
      </c>
      <c r="E38" s="52">
        <f>VLOOKUP(C38,A!C$21:E$972,3,FALSE)</f>
        <v>24905.95671773727</v>
      </c>
      <c r="F38" s="5" t="s">
        <v>66</v>
      </c>
      <c r="G38" s="15" t="str">
        <f t="shared" si="4"/>
        <v>49372.3975</v>
      </c>
      <c r="H38" s="32">
        <f t="shared" si="5"/>
        <v>24906</v>
      </c>
      <c r="I38" s="53" t="s">
        <v>120</v>
      </c>
      <c r="J38" s="54" t="s">
        <v>121</v>
      </c>
      <c r="K38" s="53">
        <v>24906</v>
      </c>
      <c r="L38" s="53" t="s">
        <v>122</v>
      </c>
      <c r="M38" s="54" t="s">
        <v>123</v>
      </c>
      <c r="N38" s="54" t="s">
        <v>124</v>
      </c>
      <c r="O38" s="55" t="s">
        <v>125</v>
      </c>
      <c r="P38" s="56" t="s">
        <v>126</v>
      </c>
    </row>
    <row r="39" spans="1:16" ht="12.75" customHeight="1" thickBot="1">
      <c r="A39" s="32" t="str">
        <f t="shared" si="0"/>
        <v> BRNO 32 </v>
      </c>
      <c r="B39" s="5" t="str">
        <f t="shared" si="1"/>
        <v>I</v>
      </c>
      <c r="C39" s="32">
        <f t="shared" si="2"/>
        <v>51585.3021</v>
      </c>
      <c r="D39" s="15" t="str">
        <f t="shared" si="3"/>
        <v>vis</v>
      </c>
      <c r="E39" s="52">
        <f>VLOOKUP(C39,A!C$21:E$972,3,FALSE)</f>
        <v>28254.961182108793</v>
      </c>
      <c r="F39" s="5" t="s">
        <v>66</v>
      </c>
      <c r="G39" s="15" t="str">
        <f t="shared" si="4"/>
        <v>51585.3021</v>
      </c>
      <c r="H39" s="32">
        <f t="shared" si="5"/>
        <v>28255</v>
      </c>
      <c r="I39" s="53" t="s">
        <v>132</v>
      </c>
      <c r="J39" s="54" t="s">
        <v>133</v>
      </c>
      <c r="K39" s="53">
        <v>28255</v>
      </c>
      <c r="L39" s="53" t="s">
        <v>134</v>
      </c>
      <c r="M39" s="54" t="s">
        <v>123</v>
      </c>
      <c r="N39" s="54" t="s">
        <v>135</v>
      </c>
      <c r="O39" s="55" t="s">
        <v>136</v>
      </c>
      <c r="P39" s="55" t="s">
        <v>137</v>
      </c>
    </row>
    <row r="40" spans="1:16" ht="12.75" customHeight="1" thickBot="1">
      <c r="A40" s="32" t="str">
        <f t="shared" si="0"/>
        <v>IBVS 5040 </v>
      </c>
      <c r="B40" s="5" t="str">
        <f t="shared" si="1"/>
        <v>I</v>
      </c>
      <c r="C40" s="32">
        <f t="shared" si="2"/>
        <v>51891.8954</v>
      </c>
      <c r="D40" s="15" t="str">
        <f t="shared" si="3"/>
        <v>vis</v>
      </c>
      <c r="E40" s="52" t="e">
        <f>VLOOKUP(C40,A!C$21:E$972,3,FALSE)</f>
        <v>#N/A</v>
      </c>
      <c r="F40" s="5" t="s">
        <v>66</v>
      </c>
      <c r="G40" s="15" t="str">
        <f t="shared" si="4"/>
        <v>51891.8954</v>
      </c>
      <c r="H40" s="32">
        <f t="shared" si="5"/>
        <v>28719</v>
      </c>
      <c r="I40" s="53" t="s">
        <v>138</v>
      </c>
      <c r="J40" s="54" t="s">
        <v>139</v>
      </c>
      <c r="K40" s="53">
        <v>28719</v>
      </c>
      <c r="L40" s="53" t="s">
        <v>140</v>
      </c>
      <c r="M40" s="54" t="s">
        <v>123</v>
      </c>
      <c r="N40" s="54" t="s">
        <v>135</v>
      </c>
      <c r="O40" s="55" t="s">
        <v>141</v>
      </c>
      <c r="P40" s="56" t="s">
        <v>142</v>
      </c>
    </row>
    <row r="41" spans="2:6" ht="12.75">
      <c r="B41" s="5"/>
      <c r="E41" s="52"/>
      <c r="F41" s="5"/>
    </row>
    <row r="42" spans="2:6" ht="12.75">
      <c r="B42" s="5"/>
      <c r="E42" s="52"/>
      <c r="F42" s="5"/>
    </row>
    <row r="43" spans="2:6" ht="12.75">
      <c r="B43" s="5"/>
      <c r="E43" s="52"/>
      <c r="F43" s="5"/>
    </row>
    <row r="44" spans="2:6" ht="12.75">
      <c r="B44" s="5"/>
      <c r="E44" s="52"/>
      <c r="F44" s="5"/>
    </row>
    <row r="45" spans="2:6" ht="12.75">
      <c r="B45" s="5"/>
      <c r="E45" s="52"/>
      <c r="F45" s="5"/>
    </row>
    <row r="46" spans="2:6" ht="12.75">
      <c r="B46" s="5"/>
      <c r="E46" s="52"/>
      <c r="F46" s="5"/>
    </row>
    <row r="47" spans="2:6" ht="12.75">
      <c r="B47" s="5"/>
      <c r="E47" s="52"/>
      <c r="F47" s="5"/>
    </row>
    <row r="48" spans="2:6" ht="12.75">
      <c r="B48" s="5"/>
      <c r="E48" s="52"/>
      <c r="F48" s="5"/>
    </row>
    <row r="49" spans="2:6" ht="12.75">
      <c r="B49" s="5"/>
      <c r="E49" s="52"/>
      <c r="F49" s="5"/>
    </row>
    <row r="50" spans="2:6" ht="12.75">
      <c r="B50" s="5"/>
      <c r="E50" s="52"/>
      <c r="F50" s="5"/>
    </row>
    <row r="51" spans="2:6" ht="12.75">
      <c r="B51" s="5"/>
      <c r="E51" s="52"/>
      <c r="F51" s="5"/>
    </row>
    <row r="52" spans="2:6" ht="12.75">
      <c r="B52" s="5"/>
      <c r="E52" s="52"/>
      <c r="F52" s="5"/>
    </row>
    <row r="53" spans="2:6" ht="12.75">
      <c r="B53" s="5"/>
      <c r="E53" s="52"/>
      <c r="F53" s="5"/>
    </row>
    <row r="54" spans="2:6" ht="12.75">
      <c r="B54" s="5"/>
      <c r="E54" s="52"/>
      <c r="F54" s="5"/>
    </row>
    <row r="55" spans="2:6" ht="12.75">
      <c r="B55" s="5"/>
      <c r="E55" s="52"/>
      <c r="F55" s="5"/>
    </row>
    <row r="56" spans="2:6" ht="12.75">
      <c r="B56" s="5"/>
      <c r="E56" s="52"/>
      <c r="F56" s="5"/>
    </row>
    <row r="57" spans="2:6" ht="12.75">
      <c r="B57" s="5"/>
      <c r="E57" s="52"/>
      <c r="F57" s="5"/>
    </row>
    <row r="58" spans="2:6" ht="12.75">
      <c r="B58" s="5"/>
      <c r="E58" s="52"/>
      <c r="F58" s="5"/>
    </row>
    <row r="59" spans="2:6" ht="12.75">
      <c r="B59" s="5"/>
      <c r="E59" s="52"/>
      <c r="F59" s="5"/>
    </row>
    <row r="60" spans="2:6" ht="12.75">
      <c r="B60" s="5"/>
      <c r="E60" s="52"/>
      <c r="F60" s="5"/>
    </row>
    <row r="61" spans="2:6" ht="12.75">
      <c r="B61" s="5"/>
      <c r="E61" s="52"/>
      <c r="F61" s="5"/>
    </row>
    <row r="62" spans="2:6" ht="12.75">
      <c r="B62" s="5"/>
      <c r="E62" s="52"/>
      <c r="F62" s="5"/>
    </row>
    <row r="63" spans="2:6" ht="12.75">
      <c r="B63" s="5"/>
      <c r="E63" s="52"/>
      <c r="F63" s="5"/>
    </row>
    <row r="64" spans="2:6" ht="12.75">
      <c r="B64" s="5"/>
      <c r="E64" s="52"/>
      <c r="F64" s="5"/>
    </row>
    <row r="65" spans="2:6" ht="12.75">
      <c r="B65" s="5"/>
      <c r="E65" s="52"/>
      <c r="F65" s="5"/>
    </row>
    <row r="66" spans="2:6" ht="12.75">
      <c r="B66" s="5"/>
      <c r="E66" s="52"/>
      <c r="F66" s="5"/>
    </row>
    <row r="67" spans="2:6" ht="12.75">
      <c r="B67" s="5"/>
      <c r="E67" s="52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</sheetData>
  <sheetProtection/>
  <hyperlinks>
    <hyperlink ref="P38" r:id="rId1" display="http://www.bav-astro.de/sfs/BAVM_link.php?BAVMnr=68"/>
    <hyperlink ref="P11" r:id="rId2" display="http://www.bav-astro.de/sfs/BAVM_link.php?BAVMnr=111"/>
    <hyperlink ref="P40" r:id="rId3" display="http://www.konkoly.hu/cgi-bin/IBVS?5040"/>
    <hyperlink ref="P12" r:id="rId4" display="http://www.bav-astro.de/sfs/BAVM_link.php?BAVMnr=152"/>
    <hyperlink ref="P13" r:id="rId5" display="http://var.astro.cz/oejv/issues/oejv0074.pdf"/>
    <hyperlink ref="P14" r:id="rId6" display="http://www.konkoly.hu/cgi-bin/IBVS?5502"/>
    <hyperlink ref="P15" r:id="rId7" display="http://www.bav-astro.de/sfs/BAVM_link.php?BAVMnr=158"/>
    <hyperlink ref="P16" r:id="rId8" display="http://www.konkoly.hu/cgi-bin/IBVS?5760"/>
    <hyperlink ref="P17" r:id="rId9" display="http://www.bav-astro.de/sfs/BAVM_link.php?BAVMnr=186"/>
    <hyperlink ref="P18" r:id="rId10" display="http://www.bav-astro.de/sfs/BAVM_link.php?BAVMnr=209"/>
    <hyperlink ref="P19" r:id="rId11" display="http://www.bav-astro.de/sfs/BAVM_link.php?BAVMnr=209"/>
    <hyperlink ref="P20" r:id="rId12" display="http://www.konkoly.hu/cgi-bin/IBVS?59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