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45" windowHeight="138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<sst xmlns="http://schemas.openxmlformats.org/spreadsheetml/2006/main" count="81" uniqueCount="64">
  <si>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</si>
  <si>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</si>
  <si>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</si>
  <si>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</si>
  <si>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</si>
  <si>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</si>
  <si>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</si>
  <si>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</si>
  <si>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</si>
  <si>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</si>
  <si>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</si>
  <si>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</si>
  <si>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</si>
  <si>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</si>
  <si>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</si>
  <si>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</si>
  <si>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</si>
  <si>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</si>
  <si>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</si>
  <si>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</si>
  <si>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</si>
  <si>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</si>
  <si>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</si>
  <si>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</si>
  <si>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</si>
  <si>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</si>
  <si>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</si>
  <si>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</si>
  <si>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</si>
  <si>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</si>
  <si>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</si>
  <si>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</si>
  <si>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</si>
  <si>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</si>
  <si>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</si>
  <si>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</si>
  <si>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</si>
  <si>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</si>
  <si>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</si>
  <si>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</si>
  <si>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</si>
  <si>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</si>
  <si>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</si>
  <si>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</si>
  <si>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</si>
  <si>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</si>
  <si>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</si>
  <si>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</si>
  <si>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</si>
  <si>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V0499 Mon</t>
  </si>
  <si>
    <t>EA</t>
  </si>
  <si>
    <t>GCVS</t>
  </si>
  <si>
    <t>OEJV 0091</t>
  </si>
  <si>
    <t>2433023.35 </t>
  </si>
  <si>
    <t> 16.04.1949 20:24 </t>
  </si>
  <si>
    <t> 0.00 </t>
  </si>
  <si>
    <t>P </t>
  </si>
  <si>
    <t> A.A.Wachmann </t>
  </si>
  <si>
    <t> AHSB 7.7 </t>
  </si>
  <si>
    <t>2434776.37 </t>
  </si>
  <si>
    <t> 02.02.1954 20:52 </t>
  </si>
  <si>
    <t> 0.02 </t>
  </si>
  <si>
    <t>I</t>
  </si>
  <si>
    <t>V0499 Mon / GSC 53047.55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</si>
</sst>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3" fillId="35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V499 Mon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19538807"/>
        <c:axId val="41631536"/>
      </c:scatterChart>
      <c:valAx>
        <c:axId val="19538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31536"/>
        <c:crosses val="autoZero"/>
        <c:crossBetween val="midCat"/>
        <c:dispUnits/>
      </c:valAx>
      <c:valAx>
        <c:axId val="41631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880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17</xdr:col>
      <xdr:colOff>104775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339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F5" sqref="F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5" ht="20.25">
      <c r="A1" s="1" t="s">
        <v>63</v>
      </c>
      <c r="F1" s="50" t="s">
        <v>49</v>
      </c>
      <c r="G1" s="32">
        <v>6.400508</v>
      </c>
      <c r="H1" s="33">
        <v>3.41066</v>
      </c>
      <c r="I1" s="34">
        <v>53047.55</v>
      </c>
      <c r="J1" s="34">
        <v>38.95775</v>
      </c>
      <c r="K1" s="31" t="s">
        <v>50</v>
      </c>
      <c r="L1" s="33"/>
      <c r="M1" s="34">
        <v>53047.54660127278</v>
      </c>
      <c r="N1" s="34">
        <v>38.95764985129026</v>
      </c>
      <c r="O1" s="37" t="s">
        <v>50</v>
      </c>
    </row>
    <row r="2" spans="1:4" ht="12.75">
      <c r="A2" t="s">
        <v>23</v>
      </c>
      <c r="B2" t="s">
        <v>50</v>
      </c>
      <c r="C2" s="30"/>
      <c r="D2" s="3"/>
    </row>
    <row r="3" ht="13.5" thickBot="1"/>
    <row r="4" spans="1:4" ht="14.25" thickBot="1" thickTop="1">
      <c r="A4" s="5" t="s">
        <v>0</v>
      </c>
      <c r="C4" s="27">
        <v>34776.37</v>
      </c>
      <c r="D4" s="28" t="s">
        <v>37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53047.54660127278</v>
      </c>
      <c r="D7" s="29" t="s">
        <v>51</v>
      </c>
    </row>
    <row r="8" spans="1:4" ht="12.75">
      <c r="A8" t="s">
        <v>3</v>
      </c>
      <c r="C8" s="8">
        <v>38.95764985129026</v>
      </c>
      <c r="D8" s="51" t="s">
        <v>52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-6.576036050846021E-14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-7.602480870507432E-15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53047.54660127278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38.957649851290256</v>
      </c>
      <c r="E16" s="14" t="s">
        <v>30</v>
      </c>
      <c r="F16" s="36">
        <f ca="1">NOW()+15018.5+$C$5/24</f>
        <v>59903.72979236111</v>
      </c>
    </row>
    <row r="17" spans="1:6" ht="13.5" thickBot="1">
      <c r="A17" s="14" t="s">
        <v>27</v>
      </c>
      <c r="B17" s="10"/>
      <c r="C17" s="10">
        <f>COUNT(C21:C2191)</f>
        <v>3</v>
      </c>
      <c r="E17" s="14" t="s">
        <v>35</v>
      </c>
      <c r="F17" s="15">
        <f>ROUND(2*(F16-$C$7)/$C$8,0)/2+F15</f>
        <v>177</v>
      </c>
    </row>
    <row r="18" spans="1:6" ht="14.25" thickBot="1" thickTop="1">
      <c r="A18" s="16" t="s">
        <v>5</v>
      </c>
      <c r="B18" s="10"/>
      <c r="C18" s="19">
        <f>+C15</f>
        <v>53047.54660127278</v>
      </c>
      <c r="D18" s="20">
        <f>+C16</f>
        <v>38.957649851290256</v>
      </c>
      <c r="E18" s="14" t="s">
        <v>36</v>
      </c>
      <c r="F18" s="23">
        <f>ROUND(2*(F16-$C$15)/$C$16,0)/2+F15</f>
        <v>177</v>
      </c>
    </row>
    <row r="19" spans="5:6" ht="13.5" thickTop="1">
      <c r="E19" s="14" t="s">
        <v>31</v>
      </c>
      <c r="F19" s="18">
        <f>+$C$15+$C$16*F18-15018.5-$C$5/24</f>
        <v>44924.94645828449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s="52" t="s">
        <v>58</v>
      </c>
      <c r="B21" s="52" t="s">
        <v>62</v>
      </c>
      <c r="C21" s="53">
        <v>33023.35</v>
      </c>
      <c r="D21" s="8"/>
      <c r="E21">
        <f>+(C21-C$7)/C$8</f>
        <v>-513.9990907487861</v>
      </c>
      <c r="F21">
        <f>ROUND(2*E21,0)/2</f>
        <v>-514</v>
      </c>
      <c r="G21">
        <f>+C21-(C$7+F21*C$8)</f>
        <v>0.035422290420683566</v>
      </c>
      <c r="H21">
        <f>+G21</f>
        <v>0.035422290420683566</v>
      </c>
      <c r="O21">
        <f>+C$11+C$12*$F21</f>
        <v>3.84191480693236E-12</v>
      </c>
      <c r="Q21" s="2">
        <f>+C21-15018.5</f>
        <v>18004.85</v>
      </c>
    </row>
    <row r="22" spans="1:17" ht="12.75">
      <c r="A22" s="52" t="s">
        <v>58</v>
      </c>
      <c r="B22" s="52" t="s">
        <v>62</v>
      </c>
      <c r="C22" s="53">
        <v>34776.37</v>
      </c>
      <c r="D22" s="8"/>
      <c r="E22">
        <f>+(C22-C$7)/C$8</f>
        <v>-469.0009964928015</v>
      </c>
      <c r="F22">
        <f>ROUND(2*E22,0)/2</f>
        <v>-469</v>
      </c>
      <c r="G22">
        <f>+C22-(C$7+F22*C$8)</f>
        <v>-0.038821017638838384</v>
      </c>
      <c r="H22">
        <f>+G22</f>
        <v>-0.038821017638838384</v>
      </c>
      <c r="O22">
        <f>+C$11+C$12*$F22</f>
        <v>3.4998031677595252E-12</v>
      </c>
      <c r="Q22" s="2">
        <f>+C22-15018.5</f>
        <v>19757.870000000003</v>
      </c>
    </row>
    <row r="23" spans="1:17" ht="12.75">
      <c r="A23" t="s">
        <v>51</v>
      </c>
      <c r="C23" s="8">
        <v>53047.55</v>
      </c>
      <c r="D23" s="8" t="s">
        <v>13</v>
      </c>
      <c r="E23">
        <f>+(C23-C$7)/C$8</f>
        <v>8.72415876831495E-05</v>
      </c>
      <c r="F23">
        <f>ROUND(2*E23,0)/2</f>
        <v>0</v>
      </c>
      <c r="G23">
        <f>+C23-(C$7+F23*C$8)</f>
        <v>0.0033987272254307754</v>
      </c>
      <c r="H23">
        <v>0</v>
      </c>
      <c r="O23">
        <f>+C$11+C$12*$F23</f>
        <v>-6.576036050846021E-14</v>
      </c>
      <c r="Q23" s="2">
        <f>+C23-15018.5</f>
        <v>38029.05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4"/>
  <sheetViews>
    <sheetView zoomScalePageLayoutView="0" workbookViewId="0" topLeftCell="A1">
      <selection activeCell="A11" sqref="A11:C12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8" t="s">
        <v>42</v>
      </c>
      <c r="I1" s="39" t="s">
        <v>43</v>
      </c>
      <c r="J1" s="40" t="s">
        <v>41</v>
      </c>
    </row>
    <row r="2" spans="9:10" ht="12.75">
      <c r="I2" s="41" t="s">
        <v>44</v>
      </c>
      <c r="J2" s="42" t="s">
        <v>40</v>
      </c>
    </row>
    <row r="3" spans="1:10" ht="12.75">
      <c r="A3" s="43" t="s">
        <v>45</v>
      </c>
      <c r="I3" s="41" t="s">
        <v>46</v>
      </c>
      <c r="J3" s="42" t="s">
        <v>38</v>
      </c>
    </row>
    <row r="4" spans="9:10" ht="12.75">
      <c r="I4" s="41" t="s">
        <v>47</v>
      </c>
      <c r="J4" s="42" t="s">
        <v>38</v>
      </c>
    </row>
    <row r="5" spans="9:10" ht="13.5" thickBot="1">
      <c r="I5" s="44" t="s">
        <v>48</v>
      </c>
      <c r="J5" s="45" t="s">
        <v>39</v>
      </c>
    </row>
    <row r="10" ht="13.5" thickBot="1"/>
    <row r="11" spans="1:16" ht="12.75" customHeight="1" thickBot="1">
      <c r="A11" s="8" t="str">
        <f>P11</f>
        <v> AHSB 7.7 </v>
      </c>
      <c r="B11" s="3" t="str">
        <f>IF(H11=INT(H11),"I","II")</f>
        <v>I</v>
      </c>
      <c r="C11" s="8">
        <f>1*G11</f>
        <v>33023.35</v>
      </c>
      <c r="D11" s="10" t="str">
        <f>VLOOKUP(F11,I$1:J$5,2,FALSE)</f>
        <v>vis</v>
      </c>
      <c r="E11" s="46">
        <f>VLOOKUP(C11,A!C$21:E$973,3,FALSE)</f>
        <v>-513.9990907487861</v>
      </c>
      <c r="F11" s="3" t="s">
        <v>48</v>
      </c>
      <c r="G11" s="10" t="str">
        <f>MID(I11,3,LEN(I11)-3)</f>
        <v>33023.35</v>
      </c>
      <c r="H11" s="8">
        <f>1*K11</f>
        <v>0</v>
      </c>
      <c r="I11" s="47" t="s">
        <v>53</v>
      </c>
      <c r="J11" s="48" t="s">
        <v>54</v>
      </c>
      <c r="K11" s="47">
        <v>0</v>
      </c>
      <c r="L11" s="47" t="s">
        <v>55</v>
      </c>
      <c r="M11" s="48" t="s">
        <v>56</v>
      </c>
      <c r="N11" s="48"/>
      <c r="O11" s="49" t="s">
        <v>57</v>
      </c>
      <c r="P11" s="49" t="s">
        <v>58</v>
      </c>
    </row>
    <row r="12" spans="1:16" ht="12.75" customHeight="1" thickBot="1">
      <c r="A12" s="8" t="str">
        <f>P12</f>
        <v> AHSB 7.7 </v>
      </c>
      <c r="B12" s="3" t="str">
        <f>IF(H12=INT(H12),"I","II")</f>
        <v>I</v>
      </c>
      <c r="C12" s="8">
        <f>1*G12</f>
        <v>34776.37</v>
      </c>
      <c r="D12" s="10" t="str">
        <f>VLOOKUP(F12,I$1:J$5,2,FALSE)</f>
        <v>vis</v>
      </c>
      <c r="E12" s="46">
        <f>VLOOKUP(C12,A!C$21:E$973,3,FALSE)</f>
        <v>-469.0009964928015</v>
      </c>
      <c r="F12" s="3" t="s">
        <v>48</v>
      </c>
      <c r="G12" s="10" t="str">
        <f>MID(I12,3,LEN(I12)-3)</f>
        <v>34776.37</v>
      </c>
      <c r="H12" s="8">
        <f>1*K12</f>
        <v>1753</v>
      </c>
      <c r="I12" s="47" t="s">
        <v>59</v>
      </c>
      <c r="J12" s="48" t="s">
        <v>60</v>
      </c>
      <c r="K12" s="47">
        <v>1753</v>
      </c>
      <c r="L12" s="47" t="s">
        <v>61</v>
      </c>
      <c r="M12" s="48" t="s">
        <v>56</v>
      </c>
      <c r="N12" s="48"/>
      <c r="O12" s="49" t="s">
        <v>57</v>
      </c>
      <c r="P12" s="49" t="s">
        <v>58</v>
      </c>
    </row>
    <row r="13" spans="2:6" ht="12.75">
      <c r="B13" s="3"/>
      <c r="F13" s="3"/>
    </row>
    <row r="14" spans="2:6" ht="12.75">
      <c r="B14" s="3"/>
      <c r="F14" s="3"/>
    </row>
    <row r="15" spans="2:6" ht="12.75">
      <c r="B15" s="3"/>
      <c r="F15" s="3"/>
    </row>
    <row r="16" spans="2:6" ht="12.75">
      <c r="B16" s="3"/>
      <c r="F16" s="3"/>
    </row>
    <row r="17" spans="2:6" ht="12.75">
      <c r="B17" s="3"/>
      <c r="F17" s="3"/>
    </row>
    <row r="18" spans="2:6" ht="12.75">
      <c r="B18" s="3"/>
      <c r="F18" s="3"/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</sheetData>
  <sheetProtection/>
  <hyperlinks>
    <hyperlink ref="A3" r:id="rId1" display="http://www.bav-astro.de/LkDB/index.php?lang=en&amp;sprache_dial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