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4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<sst xmlns="http://schemas.openxmlformats.org/spreadsheetml/2006/main" count="174" uniqueCount="122">
  <si>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</si>
  <si>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</si>
  <si>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</si>
  <si>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</si>
  <si>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</si>
  <si>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</si>
  <si>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</si>
  <si>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</si>
  <si>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</si>
  <si>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</si>
  <si>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</si>
  <si>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</si>
  <si>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</si>
  <si>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</si>
  <si>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</si>
  <si>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</si>
  <si>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</si>
  <si>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</si>
  <si>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</si>
  <si>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</si>
  <si>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</si>
  <si>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</si>
  <si>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</si>
  <si>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</si>
  <si>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</si>
  <si>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</si>
  <si>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</si>
  <si>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</si>
  <si>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</si>
  <si>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Paschke A</t>
  </si>
  <si>
    <t>BBSAG Bull.96</t>
  </si>
  <si>
    <t>B</t>
  </si>
  <si>
    <t>BBSAG Bull.98</t>
  </si>
  <si>
    <t>BBSAG Bull.102</t>
  </si>
  <si>
    <t>BBSAG Bull.111</t>
  </si>
  <si>
    <t>BBSAG</t>
  </si>
  <si>
    <t># of data points:</t>
  </si>
  <si>
    <t>E/SD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</si>
  <si>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</si>
  <si>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</si>
  <si>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</si>
  <si>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</si>
  <si>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</si>
  <si>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</si>
  <si>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5713</t>
  </si>
  <si>
    <t>I</t>
  </si>
  <si>
    <t>IBVS 5806</t>
  </si>
  <si>
    <t>Start of linear fit &gt;&gt;&gt;&gt;&gt;&gt;&gt;&gt;&gt;&gt;&gt;&gt;&gt;&gt;&gt;&gt;&gt;&gt;&gt;&gt;&gt;</t>
  </si>
  <si>
    <t>OEJV 0073</t>
  </si>
  <si>
    <t>OEJV</t>
  </si>
  <si>
    <t>OEJV 0048</t>
  </si>
  <si>
    <t>Add cycle</t>
  </si>
  <si>
    <t>Old Cycle</t>
  </si>
  <si>
    <t>OEJV 0130</t>
  </si>
  <si>
    <t>OEJV 0142</t>
  </si>
  <si>
    <t>OEJV 0155</t>
  </si>
  <si>
    <t>0,0070</t>
  </si>
  <si>
    <t>V0709 Oph / GSC 5043-0279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</si>
  <si>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</si>
  <si>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</si>
  <si>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</si>
  <si>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</si>
  <si>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</si>
  <si>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</si>
  <si>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</si>
  <si>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</si>
  <si>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</si>
  <si>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</si>
  <si>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</si>
  <si>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</si>
  <si>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2427987.40 </t>
  </si>
  <si>
    <t> 03.07.1935 21:36 </t>
  </si>
  <si>
    <t> 0.00 </t>
  </si>
  <si>
    <t> Hughes Boyce </t>
  </si>
  <si>
    <t> HA 109.9 </t>
  </si>
  <si>
    <t>2448092.4 </t>
  </si>
  <si>
    <t> 19.07.1990 21:36 </t>
  </si>
  <si>
    <t> 0.4 </t>
  </si>
  <si>
    <t>E </t>
  </si>
  <si>
    <t>?</t>
  </si>
  <si>
    <t> A.Paschke </t>
  </si>
  <si>
    <t> BBS 96 </t>
  </si>
  <si>
    <t>2448433.49 </t>
  </si>
  <si>
    <t> 25.06.1991 23:45 </t>
  </si>
  <si>
    <t> 0.42 </t>
  </si>
  <si>
    <t> BBS 98 </t>
  </si>
  <si>
    <t>2448771.510 </t>
  </si>
  <si>
    <t> 29.05.1992 00:14 </t>
  </si>
  <si>
    <t> 0.392 </t>
  </si>
  <si>
    <t> BBS 102/103 </t>
  </si>
  <si>
    <t>2449843.439 </t>
  </si>
  <si>
    <t> 05.05.1995 22:32 </t>
  </si>
  <si>
    <t> 0.320 </t>
  </si>
  <si>
    <t> BBS 111 </t>
  </si>
  <si>
    <t>2453552.389 </t>
  </si>
  <si>
    <t> 30.06.2005 21:20 </t>
  </si>
  <si>
    <t> -0.096 </t>
  </si>
  <si>
    <t>IBVS 5713 </t>
  </si>
  <si>
    <t>2453893.457 </t>
  </si>
  <si>
    <t> 06.06.2006 22:58 </t>
  </si>
  <si>
    <t> -0.119 </t>
  </si>
  <si>
    <t>C </t>
  </si>
  <si>
    <t>o</t>
  </si>
  <si>
    <t>OEJV 0048 </t>
  </si>
  <si>
    <t>2453975.6722 </t>
  </si>
  <si>
    <t> 28.08.2006 04:07 </t>
  </si>
  <si>
    <t> -0.1315 </t>
  </si>
  <si>
    <t> T.Krajci </t>
  </si>
  <si>
    <t>IBVS 5806 </t>
  </si>
  <si>
    <t>2454289.325 </t>
  </si>
  <si>
    <t> 07.07.2007 19:48 </t>
  </si>
  <si>
    <t> -0.161 </t>
  </si>
  <si>
    <t>OEJV 0073 </t>
  </si>
  <si>
    <t>2455711.397 </t>
  </si>
  <si>
    <t> 29.05.2011 21:31 </t>
  </si>
  <si>
    <t> -0.317 </t>
  </si>
  <si>
    <t>OEJV 0142 </t>
  </si>
  <si>
    <t>2456113.3400 </t>
  </si>
  <si>
    <t> 04.07.2012 20:09 </t>
  </si>
  <si>
    <t> -0.3742 </t>
  </si>
  <si>
    <t>ns</t>
  </si>
  <si>
    <t>OEJV 0155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</si>
</sst>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8" fillId="33" borderId="0" xfId="0" applyFont="1" applyFill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4" fillId="34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V709 Oph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19518286"/>
        <c:axId val="41446847"/>
      </c:scatterChart>
      <c:valAx>
        <c:axId val="19518286"/>
        <c:scaling>
          <c:orientation val="minMax"/>
          <c:min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6847"/>
        <c:crosses val="autoZero"/>
        <c:crossBetween val="midCat"/>
        <c:dispUnits/>
      </c:valAx>
      <c:valAx>
        <c:axId val="41446847"/>
        <c:scaling>
          <c:orientation val="minMax"/>
          <c:max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82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75"/>
          <c:w val="1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V709 Oph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25"/>
          <c:w val="0.888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0.02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0.01</c:v>
                  </c:pt>
                  <c:pt idx="6">
                    <c:v>0.005</c:v>
                  </c:pt>
                  <c:pt idx="7">
                    <c:v>0.008</c:v>
                  </c:pt>
                  <c:pt idx="8">
                    <c:v>0.0008</c:v>
                  </c:pt>
                  <c:pt idx="9">
                    <c:v>0.007</c:v>
                  </c:pt>
                  <c:pt idx="10">
                    <c:v>0.007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37477304"/>
        <c:axId val="1751417"/>
      </c:scatterChart>
      <c:valAx>
        <c:axId val="37477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417"/>
        <c:crosses val="autoZero"/>
        <c:crossBetween val="midCat"/>
        <c:dispUnits/>
      </c:valAx>
      <c:valAx>
        <c:axId val="175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73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"/>
          <c:y val="0.93"/>
          <c:w val="0.998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13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00475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104775</xdr:colOff>
      <xdr:row>0</xdr:row>
      <xdr:rowOff>9525</xdr:rowOff>
    </xdr:from>
    <xdr:to>
      <xdr:col>20</xdr:col>
      <xdr:colOff>390525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8448675" y="9525"/>
        <a:ext cx="46196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713" TargetMode="External" /><Relationship Id="rId2" Type="http://schemas.openxmlformats.org/officeDocument/2006/relationships/hyperlink" Target="http://var.astro.cz/oejv/issues/oejv0048.pdf" TargetMode="External" /><Relationship Id="rId3" Type="http://schemas.openxmlformats.org/officeDocument/2006/relationships/hyperlink" Target="http://www.konkoly.hu/cgi-bin/IBVS?5806" TargetMode="External" /><Relationship Id="rId4" Type="http://schemas.openxmlformats.org/officeDocument/2006/relationships/hyperlink" Target="http://var.astro.cz/oejv/issues/oejv0073.pdf" TargetMode="External" /><Relationship Id="rId5" Type="http://schemas.openxmlformats.org/officeDocument/2006/relationships/hyperlink" Target="http://var.astro.cz/oejv/issues/oejv0142.pdf" TargetMode="External" /><Relationship Id="rId6" Type="http://schemas.openxmlformats.org/officeDocument/2006/relationships/hyperlink" Target="http://var.astro.cz/oejv/issues/oejv015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3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57</v>
      </c>
    </row>
    <row r="2" spans="1:2" ht="12.75">
      <c r="A2" t="s">
        <v>25</v>
      </c>
      <c r="B2" s="10" t="s">
        <v>37</v>
      </c>
    </row>
    <row r="4" spans="1:4" ht="12.75">
      <c r="A4" s="5" t="s">
        <v>0</v>
      </c>
      <c r="C4" s="2">
        <v>27987.4</v>
      </c>
      <c r="D4" s="3">
        <v>3.04545658</v>
      </c>
    </row>
    <row r="6" ht="12.75">
      <c r="A6" s="5" t="s">
        <v>1</v>
      </c>
    </row>
    <row r="7" spans="1:3" ht="12.75">
      <c r="A7" t="s">
        <v>2</v>
      </c>
      <c r="C7">
        <f>+C4</f>
        <v>27987.4</v>
      </c>
    </row>
    <row r="8" spans="1:3" ht="12.75">
      <c r="A8" t="s">
        <v>3</v>
      </c>
      <c r="C8">
        <f>+D4</f>
        <v>3.04545658</v>
      </c>
    </row>
    <row r="9" spans="1:5" ht="12.75">
      <c r="A9" s="12" t="s">
        <v>38</v>
      </c>
      <c r="B9" s="13"/>
      <c r="C9" s="14">
        <v>-9.5</v>
      </c>
      <c r="D9" s="13" t="s">
        <v>39</v>
      </c>
      <c r="E9" s="13"/>
    </row>
    <row r="10" spans="1:5" ht="13.5" thickBot="1">
      <c r="A10" s="13"/>
      <c r="B10" s="13"/>
      <c r="C10" s="4" t="s">
        <v>21</v>
      </c>
      <c r="D10" s="4" t="s">
        <v>22</v>
      </c>
      <c r="E10" s="13"/>
    </row>
    <row r="11" spans="1:7" ht="12.75">
      <c r="A11" s="13" t="s">
        <v>16</v>
      </c>
      <c r="B11" s="13"/>
      <c r="C11" s="27">
        <f ca="1">INTERCEPT(INDIRECT($G$11):G991,INDIRECT($F$11):F991)</f>
        <v>0.9836234399031072</v>
      </c>
      <c r="D11" s="15"/>
      <c r="E11" s="13"/>
      <c r="F11" s="28" t="str">
        <f>"F"&amp;E19</f>
        <v>F21</v>
      </c>
      <c r="G11" s="8" t="str">
        <f>"G"&amp;E19</f>
        <v>G21</v>
      </c>
    </row>
    <row r="12" spans="1:5" ht="12.75">
      <c r="A12" s="13" t="s">
        <v>17</v>
      </c>
      <c r="B12" s="13"/>
      <c r="C12" s="27">
        <f ca="1">SLOPE(INDIRECT($G$11):G991,INDIRECT($F$11):F991)</f>
        <v>-0.00030950570831440974</v>
      </c>
      <c r="D12" s="15"/>
      <c r="E12" s="13"/>
    </row>
    <row r="13" spans="1:5" ht="12.75">
      <c r="A13" s="13" t="s">
        <v>20</v>
      </c>
      <c r="B13" s="13"/>
      <c r="C13" s="15" t="s">
        <v>14</v>
      </c>
      <c r="D13" s="18" t="s">
        <v>51</v>
      </c>
      <c r="E13" s="14">
        <v>1</v>
      </c>
    </row>
    <row r="14" spans="1:5" ht="12.75">
      <c r="A14" s="13"/>
      <c r="B14" s="13"/>
      <c r="C14" s="13"/>
      <c r="D14" s="18" t="s">
        <v>40</v>
      </c>
      <c r="E14" s="19">
        <f ca="1">NOW()+15018.5+$C$9/24</f>
        <v>59904.72628009259</v>
      </c>
    </row>
    <row r="15" spans="1:5" ht="12.75">
      <c r="A15" s="16" t="s">
        <v>18</v>
      </c>
      <c r="B15" s="13"/>
      <c r="C15" s="17">
        <f>(C7+C11)+(C8+C12)*INT(MAX(F21:F3532))</f>
        <v>56113.36200159791</v>
      </c>
      <c r="D15" s="18" t="s">
        <v>52</v>
      </c>
      <c r="E15" s="19">
        <f>ROUND(2*(E14-$C$7)/$C$8,0)/2+E13</f>
        <v>10481.5</v>
      </c>
    </row>
    <row r="16" spans="1:5" ht="12.75">
      <c r="A16" s="20" t="s">
        <v>4</v>
      </c>
      <c r="B16" s="13"/>
      <c r="C16" s="21">
        <f>+C8+C12</f>
        <v>3.0451470742916857</v>
      </c>
      <c r="D16" s="18" t="s">
        <v>41</v>
      </c>
      <c r="E16" s="8">
        <f>ROUND(2*(E14-$C$15)/$C$16,0)/2+E13</f>
        <v>1246</v>
      </c>
    </row>
    <row r="17" spans="1:5" ht="13.5" thickBot="1">
      <c r="A17" s="18" t="s">
        <v>36</v>
      </c>
      <c r="B17" s="13"/>
      <c r="C17" s="13">
        <f>COUNT(C21:C2190)</f>
        <v>13</v>
      </c>
      <c r="D17" s="18" t="s">
        <v>42</v>
      </c>
      <c r="E17" s="22">
        <f>+$C$15+$C$16*E16-15018.5-$C$9/24</f>
        <v>44889.51108949869</v>
      </c>
    </row>
    <row r="18" spans="1:5" ht="14.25" thickBot="1" thickTop="1">
      <c r="A18" s="20" t="s">
        <v>5</v>
      </c>
      <c r="B18" s="13"/>
      <c r="C18" s="23">
        <f>+C15</f>
        <v>56113.36200159791</v>
      </c>
      <c r="D18" s="24">
        <f>+C16</f>
        <v>3.0451470742916857</v>
      </c>
      <c r="E18" s="25" t="s">
        <v>43</v>
      </c>
    </row>
    <row r="19" spans="1:5" ht="13.5" thickTop="1">
      <c r="A19" s="29" t="s">
        <v>47</v>
      </c>
      <c r="E19" s="30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35</v>
      </c>
      <c r="J20" s="7" t="s">
        <v>49</v>
      </c>
      <c r="K20" s="7" t="s">
        <v>19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15</v>
      </c>
    </row>
    <row r="21" spans="1:17" s="33" customFormat="1" ht="12.75">
      <c r="A21" s="31" t="s">
        <v>12</v>
      </c>
      <c r="B21" s="31"/>
      <c r="C21" s="32">
        <v>27987.4</v>
      </c>
      <c r="D21" s="32" t="s">
        <v>14</v>
      </c>
      <c r="E21" s="31">
        <f>+(C21-C$7)/C$8</f>
        <v>0</v>
      </c>
      <c r="F21" s="31">
        <f>ROUND(2*E21,0)/2</f>
        <v>0</v>
      </c>
      <c r="G21" s="31"/>
      <c r="H21" s="8">
        <f>G21</f>
        <v>0</v>
      </c>
      <c r="Q21" s="34">
        <f>+C21-15018.5</f>
        <v>12968.900000000001</v>
      </c>
    </row>
    <row r="22" spans="1:31" s="33" customFormat="1" ht="12.75">
      <c r="A22" s="33" t="s">
        <v>30</v>
      </c>
      <c r="C22" s="35">
        <v>48092.4</v>
      </c>
      <c r="D22" s="35"/>
      <c r="E22" s="33">
        <f>+(C22-C$7)/C$8</f>
        <v>6601.637380756878</v>
      </c>
      <c r="F22" s="26">
        <f aca="true" t="shared" si="0" ref="F22:F33">ROUND(2*E22,0)/2+0.5</f>
        <v>6602</v>
      </c>
      <c r="G22" s="33">
        <f aca="true" t="shared" si="1" ref="G22:G30">+C22-(C$7+F22*C$8)</f>
        <v>-1.104341160003969</v>
      </c>
      <c r="I22" s="33">
        <f aca="true" t="shared" si="2" ref="I22:I27">+G22</f>
        <v>-1.104341160003969</v>
      </c>
      <c r="O22" s="33">
        <f aca="true" t="shared" si="3" ref="O22:O30">+C$11+C$12*$F22</f>
        <v>-1.0597332463886258</v>
      </c>
      <c r="Q22" s="34">
        <f>+C22-15018.5</f>
        <v>33073.9</v>
      </c>
      <c r="AA22" s="33">
        <v>25</v>
      </c>
      <c r="AC22" s="33" t="s">
        <v>29</v>
      </c>
      <c r="AE22" s="33" t="s">
        <v>31</v>
      </c>
    </row>
    <row r="23" spans="1:31" s="33" customFormat="1" ht="12.75">
      <c r="A23" s="33" t="s">
        <v>32</v>
      </c>
      <c r="C23" s="35">
        <v>48433.49</v>
      </c>
      <c r="D23" s="35">
        <v>0.02</v>
      </c>
      <c r="E23" s="33">
        <f>+(C23-C$7)/C$8</f>
        <v>6713.637007426977</v>
      </c>
      <c r="F23" s="26">
        <f t="shared" si="0"/>
        <v>6714</v>
      </c>
      <c r="G23" s="33">
        <f t="shared" si="1"/>
        <v>-1.1054781200000434</v>
      </c>
      <c r="I23" s="33">
        <f t="shared" si="2"/>
        <v>-1.1054781200000434</v>
      </c>
      <c r="O23" s="33">
        <f t="shared" si="3"/>
        <v>-1.0943978857198398</v>
      </c>
      <c r="Q23" s="34">
        <f>+C23-15018.5</f>
        <v>33414.99</v>
      </c>
      <c r="AA23" s="33">
        <v>25</v>
      </c>
      <c r="AC23" s="33" t="s">
        <v>29</v>
      </c>
      <c r="AE23" s="33" t="s">
        <v>31</v>
      </c>
    </row>
    <row r="24" spans="1:31" s="33" customFormat="1" ht="12.75">
      <c r="A24" s="33" t="s">
        <v>33</v>
      </c>
      <c r="C24" s="35">
        <v>48771.51</v>
      </c>
      <c r="D24" s="35">
        <v>0.007</v>
      </c>
      <c r="E24" s="33">
        <f aca="true" t="shared" si="4" ref="E24:E30">+(C24-C$7)/C$8</f>
        <v>6824.6285750690295</v>
      </c>
      <c r="F24" s="26">
        <f t="shared" si="0"/>
        <v>6825</v>
      </c>
      <c r="G24" s="33">
        <f t="shared" si="1"/>
        <v>-1.1311585000003106</v>
      </c>
      <c r="I24" s="33">
        <f t="shared" si="2"/>
        <v>-1.1311585000003106</v>
      </c>
      <c r="O24" s="33">
        <f t="shared" si="3"/>
        <v>-1.1287530193427393</v>
      </c>
      <c r="Q24" s="34">
        <f aca="true" t="shared" si="5" ref="Q24:Q30">+C24-15018.5</f>
        <v>33753.01</v>
      </c>
      <c r="AA24" s="33">
        <v>64</v>
      </c>
      <c r="AC24" s="33" t="s">
        <v>29</v>
      </c>
      <c r="AE24" s="33" t="s">
        <v>31</v>
      </c>
    </row>
    <row r="25" spans="1:31" s="33" customFormat="1" ht="12.75">
      <c r="A25" s="33" t="s">
        <v>34</v>
      </c>
      <c r="C25" s="35">
        <v>49843.439</v>
      </c>
      <c r="D25" s="35"/>
      <c r="E25" s="33">
        <f t="shared" si="4"/>
        <v>7176.605026494909</v>
      </c>
      <c r="F25" s="26">
        <f t="shared" si="0"/>
        <v>7177</v>
      </c>
      <c r="G25" s="33">
        <f t="shared" si="1"/>
        <v>-1.2028746600044542</v>
      </c>
      <c r="I25" s="33">
        <f t="shared" si="2"/>
        <v>-1.2028746600044542</v>
      </c>
      <c r="O25" s="33">
        <f t="shared" si="3"/>
        <v>-1.2376990286694116</v>
      </c>
      <c r="Q25" s="34">
        <f t="shared" si="5"/>
        <v>34824.939</v>
      </c>
      <c r="AA25" s="33">
        <v>0</v>
      </c>
      <c r="AC25" s="33" t="s">
        <v>29</v>
      </c>
      <c r="AE25" s="33" t="s">
        <v>31</v>
      </c>
    </row>
    <row r="26" spans="1:31" s="33" customFormat="1" ht="12.75">
      <c r="A26" s="33" t="s">
        <v>34</v>
      </c>
      <c r="C26" s="35">
        <v>49843.439</v>
      </c>
      <c r="D26" s="35">
        <v>0.01</v>
      </c>
      <c r="E26" s="33">
        <f t="shared" si="4"/>
        <v>7176.605026494909</v>
      </c>
      <c r="F26" s="26">
        <f t="shared" si="0"/>
        <v>7177</v>
      </c>
      <c r="G26" s="33">
        <f t="shared" si="1"/>
        <v>-1.2028746600044542</v>
      </c>
      <c r="I26" s="33">
        <f t="shared" si="2"/>
        <v>-1.2028746600044542</v>
      </c>
      <c r="O26" s="33">
        <f t="shared" si="3"/>
        <v>-1.2376990286694116</v>
      </c>
      <c r="Q26" s="34">
        <f t="shared" si="5"/>
        <v>34824.939</v>
      </c>
      <c r="AA26" s="33">
        <v>22</v>
      </c>
      <c r="AC26" s="33" t="s">
        <v>29</v>
      </c>
      <c r="AE26" s="33" t="s">
        <v>31</v>
      </c>
    </row>
    <row r="27" spans="1:17" s="33" customFormat="1" ht="12.75">
      <c r="A27" s="36" t="s">
        <v>44</v>
      </c>
      <c r="B27" s="17" t="s">
        <v>45</v>
      </c>
      <c r="C27" s="36">
        <v>53552.389</v>
      </c>
      <c r="D27" s="36">
        <v>0.005</v>
      </c>
      <c r="E27" s="37">
        <f t="shared" si="4"/>
        <v>8394.468391993953</v>
      </c>
      <c r="F27" s="26">
        <f t="shared" si="0"/>
        <v>8395</v>
      </c>
      <c r="G27" s="33">
        <f t="shared" si="1"/>
        <v>-1.6189891000030912</v>
      </c>
      <c r="I27" s="33">
        <f t="shared" si="2"/>
        <v>-1.6189891000030912</v>
      </c>
      <c r="O27" s="33">
        <f t="shared" si="3"/>
        <v>-1.6146769813963624</v>
      </c>
      <c r="Q27" s="34">
        <f t="shared" si="5"/>
        <v>38533.889</v>
      </c>
    </row>
    <row r="28" spans="1:17" ht="12.75">
      <c r="A28" s="42" t="s">
        <v>50</v>
      </c>
      <c r="B28" s="43" t="s">
        <v>45</v>
      </c>
      <c r="C28" s="44">
        <v>53893.457</v>
      </c>
      <c r="D28" s="44">
        <v>0.008</v>
      </c>
      <c r="E28" s="39">
        <f t="shared" si="4"/>
        <v>8506.460794788281</v>
      </c>
      <c r="F28" s="26">
        <f t="shared" si="0"/>
        <v>8507</v>
      </c>
      <c r="G28" s="33">
        <f t="shared" si="1"/>
        <v>-1.6421260599963716</v>
      </c>
      <c r="H28" s="33"/>
      <c r="I28" s="33"/>
      <c r="J28" s="33">
        <f>+G28</f>
        <v>-1.6421260599963716</v>
      </c>
      <c r="K28" s="33"/>
      <c r="L28" s="33"/>
      <c r="M28" s="33"/>
      <c r="N28" s="33"/>
      <c r="O28" s="33">
        <f t="shared" si="3"/>
        <v>-1.6493416207275764</v>
      </c>
      <c r="P28" s="33"/>
      <c r="Q28" s="34">
        <f t="shared" si="5"/>
        <v>38874.957</v>
      </c>
    </row>
    <row r="29" spans="1:17" s="33" customFormat="1" ht="12.75">
      <c r="A29" s="38" t="s">
        <v>46</v>
      </c>
      <c r="B29" s="40" t="s">
        <v>45</v>
      </c>
      <c r="C29" s="38">
        <v>53975.67219999991</v>
      </c>
      <c r="D29" s="38">
        <v>0.0008</v>
      </c>
      <c r="E29" s="37">
        <f t="shared" si="4"/>
        <v>8533.456812574195</v>
      </c>
      <c r="F29" s="26">
        <f t="shared" si="0"/>
        <v>8534</v>
      </c>
      <c r="G29" s="33">
        <f t="shared" si="1"/>
        <v>-1.6542537200875813</v>
      </c>
      <c r="I29" s="33">
        <f>+G29</f>
        <v>-1.6542537200875813</v>
      </c>
      <c r="O29" s="33">
        <f t="shared" si="3"/>
        <v>-1.6576982748520657</v>
      </c>
      <c r="Q29" s="34">
        <f t="shared" si="5"/>
        <v>38957.17219999991</v>
      </c>
    </row>
    <row r="30" spans="1:17" s="33" customFormat="1" ht="12.75">
      <c r="A30" s="36" t="s">
        <v>48</v>
      </c>
      <c r="B30" s="41" t="s">
        <v>45</v>
      </c>
      <c r="C30" s="36">
        <v>54289.325000000186</v>
      </c>
      <c r="D30" s="36">
        <v>0.007</v>
      </c>
      <c r="E30" s="39">
        <f t="shared" si="4"/>
        <v>8636.447215412338</v>
      </c>
      <c r="F30" s="26">
        <f t="shared" si="0"/>
        <v>8637</v>
      </c>
      <c r="G30" s="33">
        <f t="shared" si="1"/>
        <v>-1.6834814598114463</v>
      </c>
      <c r="J30" s="33">
        <f>+G30</f>
        <v>-1.6834814598114463</v>
      </c>
      <c r="O30" s="33">
        <f t="shared" si="3"/>
        <v>-1.6895773628084496</v>
      </c>
      <c r="Q30" s="34">
        <f t="shared" si="5"/>
        <v>39270.825000000186</v>
      </c>
    </row>
    <row r="31" spans="1:17" ht="12.75">
      <c r="A31" s="45" t="s">
        <v>53</v>
      </c>
      <c r="B31" s="41" t="s">
        <v>45</v>
      </c>
      <c r="C31" s="36">
        <v>55376.44</v>
      </c>
      <c r="D31" s="36">
        <v>0.007</v>
      </c>
      <c r="E31" s="39">
        <f>+(C31-C$7)/C$8</f>
        <v>8993.410111268111</v>
      </c>
      <c r="F31" s="26">
        <f t="shared" si="0"/>
        <v>8994</v>
      </c>
      <c r="G31" s="33">
        <f>+C31-(C$7+F31*C$8)</f>
        <v>-1.7964805200026603</v>
      </c>
      <c r="H31" s="33"/>
      <c r="I31" s="33"/>
      <c r="J31" s="33">
        <f>+G31</f>
        <v>-1.7964805200026603</v>
      </c>
      <c r="K31" s="33"/>
      <c r="L31" s="33"/>
      <c r="M31" s="33"/>
      <c r="N31" s="33"/>
      <c r="O31" s="33">
        <f>+C$11+C$12*$F31</f>
        <v>-1.8000709006766942</v>
      </c>
      <c r="P31" s="33"/>
      <c r="Q31" s="34">
        <f>+C31-15018.5</f>
        <v>40357.94</v>
      </c>
    </row>
    <row r="32" spans="1:17" ht="12.75">
      <c r="A32" s="46" t="s">
        <v>54</v>
      </c>
      <c r="B32" s="47" t="s">
        <v>45</v>
      </c>
      <c r="C32" s="46">
        <v>55711.397</v>
      </c>
      <c r="D32" s="46">
        <v>0.006</v>
      </c>
      <c r="E32" s="39">
        <f>+(C32-C$7)/C$8</f>
        <v>9103.395918388038</v>
      </c>
      <c r="F32" s="26">
        <f t="shared" si="0"/>
        <v>9104</v>
      </c>
      <c r="G32" s="33">
        <f>+C32-(C$7+F32*C$8)</f>
        <v>-1.8397043200093322</v>
      </c>
      <c r="H32" s="33"/>
      <c r="I32" s="33"/>
      <c r="J32" s="33">
        <f>+G32</f>
        <v>-1.8397043200093322</v>
      </c>
      <c r="K32" s="33"/>
      <c r="L32" s="33"/>
      <c r="M32" s="33"/>
      <c r="N32" s="33"/>
      <c r="O32" s="33">
        <f>+C$11+C$12*$F32</f>
        <v>-1.8341165285912793</v>
      </c>
      <c r="P32" s="33"/>
      <c r="Q32" s="34">
        <f>+C32-15018.5</f>
        <v>40692.897</v>
      </c>
    </row>
    <row r="33" spans="1:17" ht="12.75">
      <c r="A33" s="48" t="s">
        <v>55</v>
      </c>
      <c r="B33" s="49" t="s">
        <v>45</v>
      </c>
      <c r="C33" s="50">
        <v>56113.34</v>
      </c>
      <c r="D33" s="48" t="s">
        <v>56</v>
      </c>
      <c r="E33" s="39">
        <f>+(C33-C$7)/C$8</f>
        <v>9235.37711379881</v>
      </c>
      <c r="F33" s="26">
        <f t="shared" si="0"/>
        <v>9236</v>
      </c>
      <c r="G33" s="33">
        <f>+C33-(C$7+F33*C$8)</f>
        <v>-1.8969728800075245</v>
      </c>
      <c r="H33" s="33"/>
      <c r="I33" s="33"/>
      <c r="J33" s="33">
        <f>+G33</f>
        <v>-1.8969728800075245</v>
      </c>
      <c r="K33" s="33"/>
      <c r="L33" s="33"/>
      <c r="M33" s="33"/>
      <c r="N33" s="33"/>
      <c r="O33" s="33">
        <f>+C$11+C$12*$F33</f>
        <v>-1.8749712820887814</v>
      </c>
      <c r="P33" s="33"/>
      <c r="Q33" s="34">
        <f>+C33-15018.5</f>
        <v>41094.84</v>
      </c>
    </row>
    <row r="34" spans="1:4" ht="12.75">
      <c r="A34" s="64"/>
      <c r="B34" s="64"/>
      <c r="C34" s="65"/>
      <c r="D34" s="11"/>
    </row>
    <row r="35" spans="1:4" ht="12.75">
      <c r="A35" s="64"/>
      <c r="B35" s="64"/>
      <c r="C35" s="65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7"/>
  <sheetViews>
    <sheetView zoomScalePageLayoutView="0" workbookViewId="0" topLeftCell="A1">
      <selection activeCell="A20" sqref="A20:C21"/>
    </sheetView>
  </sheetViews>
  <sheetFormatPr defaultColWidth="9.140625" defaultRowHeight="12.75"/>
  <cols>
    <col min="1" max="1" width="19.7109375" style="9" customWidth="1"/>
    <col min="2" max="2" width="4.421875" style="13" customWidth="1"/>
    <col min="3" max="3" width="12.7109375" style="9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9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51" t="s">
        <v>58</v>
      </c>
      <c r="I1" s="52" t="s">
        <v>59</v>
      </c>
      <c r="J1" s="53" t="s">
        <v>60</v>
      </c>
    </row>
    <row r="2" spans="9:10" ht="12.75">
      <c r="I2" s="54" t="s">
        <v>61</v>
      </c>
      <c r="J2" s="55" t="s">
        <v>62</v>
      </c>
    </row>
    <row r="3" spans="1:10" ht="12.75">
      <c r="A3" s="56" t="s">
        <v>63</v>
      </c>
      <c r="I3" s="54" t="s">
        <v>64</v>
      </c>
      <c r="J3" s="55" t="s">
        <v>65</v>
      </c>
    </row>
    <row r="4" spans="9:10" ht="12.75">
      <c r="I4" s="54" t="s">
        <v>66</v>
      </c>
      <c r="J4" s="55" t="s">
        <v>65</v>
      </c>
    </row>
    <row r="5" spans="9:10" ht="13.5" thickBot="1">
      <c r="I5" s="57" t="s">
        <v>67</v>
      </c>
      <c r="J5" s="58" t="s">
        <v>68</v>
      </c>
    </row>
    <row r="10" ht="13.5" thickBot="1"/>
    <row r="11" spans="1:16" ht="12.75" customHeight="1" thickBot="1">
      <c r="A11" s="9" t="str">
        <f aca="true" t="shared" si="0" ref="A11:A21">P11</f>
        <v> HA 109.9 </v>
      </c>
      <c r="B11" s="15" t="str">
        <f aca="true" t="shared" si="1" ref="B11:B21">IF(H11=INT(H11),"I","II")</f>
        <v>I</v>
      </c>
      <c r="C11" s="9">
        <f aca="true" t="shared" si="2" ref="C11:C21">1*G11</f>
        <v>27987.4</v>
      </c>
      <c r="D11" s="13" t="str">
        <f aca="true" t="shared" si="3" ref="D11:D21">VLOOKUP(F11,I$1:J$5,2,FALSE)</f>
        <v>vis</v>
      </c>
      <c r="E11" s="59">
        <f>VLOOKUP(C11,A!C$21:E$973,3,FALSE)</f>
        <v>0</v>
      </c>
      <c r="F11" s="15" t="s">
        <v>67</v>
      </c>
      <c r="G11" s="13" t="str">
        <f aca="true" t="shared" si="4" ref="G11:G21">MID(I11,3,LEN(I11)-3)</f>
        <v>27987.40</v>
      </c>
      <c r="H11" s="9">
        <f aca="true" t="shared" si="5" ref="H11:H21">1*K11</f>
        <v>0</v>
      </c>
      <c r="I11" s="60" t="s">
        <v>70</v>
      </c>
      <c r="J11" s="61" t="s">
        <v>71</v>
      </c>
      <c r="K11" s="60">
        <v>0</v>
      </c>
      <c r="L11" s="60" t="s">
        <v>72</v>
      </c>
      <c r="M11" s="61" t="s">
        <v>69</v>
      </c>
      <c r="N11" s="61"/>
      <c r="O11" s="62" t="s">
        <v>73</v>
      </c>
      <c r="P11" s="62" t="s">
        <v>74</v>
      </c>
    </row>
    <row r="12" spans="1:16" ht="12.75" customHeight="1" thickBot="1">
      <c r="A12" s="9" t="str">
        <f t="shared" si="0"/>
        <v> BBS 96 </v>
      </c>
      <c r="B12" s="15" t="str">
        <f t="shared" si="1"/>
        <v>II</v>
      </c>
      <c r="C12" s="9">
        <f t="shared" si="2"/>
        <v>48092.4</v>
      </c>
      <c r="D12" s="13" t="str">
        <f t="shared" si="3"/>
        <v>vis</v>
      </c>
      <c r="E12" s="59">
        <f>VLOOKUP(C12,A!C$21:E$973,3,FALSE)</f>
        <v>6601.637380756878</v>
      </c>
      <c r="F12" s="15" t="s">
        <v>67</v>
      </c>
      <c r="G12" s="13" t="str">
        <f t="shared" si="4"/>
        <v>48092.4</v>
      </c>
      <c r="H12" s="9">
        <f t="shared" si="5"/>
        <v>6601.5</v>
      </c>
      <c r="I12" s="60" t="s">
        <v>75</v>
      </c>
      <c r="J12" s="61" t="s">
        <v>76</v>
      </c>
      <c r="K12" s="60">
        <v>6601.5</v>
      </c>
      <c r="L12" s="60" t="s">
        <v>77</v>
      </c>
      <c r="M12" s="61" t="s">
        <v>78</v>
      </c>
      <c r="N12" s="61" t="s">
        <v>79</v>
      </c>
      <c r="O12" s="62" t="s">
        <v>80</v>
      </c>
      <c r="P12" s="62" t="s">
        <v>81</v>
      </c>
    </row>
    <row r="13" spans="1:16" ht="12.75" customHeight="1" thickBot="1">
      <c r="A13" s="9" t="str">
        <f t="shared" si="0"/>
        <v> BBS 98 </v>
      </c>
      <c r="B13" s="15" t="str">
        <f t="shared" si="1"/>
        <v>II</v>
      </c>
      <c r="C13" s="9">
        <f t="shared" si="2"/>
        <v>48433.49</v>
      </c>
      <c r="D13" s="13" t="str">
        <f t="shared" si="3"/>
        <v>vis</v>
      </c>
      <c r="E13" s="59">
        <f>VLOOKUP(C13,A!C$21:E$973,3,FALSE)</f>
        <v>6713.637007426977</v>
      </c>
      <c r="F13" s="15" t="s">
        <v>67</v>
      </c>
      <c r="G13" s="13" t="str">
        <f t="shared" si="4"/>
        <v>48433.49</v>
      </c>
      <c r="H13" s="9">
        <f t="shared" si="5"/>
        <v>6713.5</v>
      </c>
      <c r="I13" s="60" t="s">
        <v>82</v>
      </c>
      <c r="J13" s="61" t="s">
        <v>83</v>
      </c>
      <c r="K13" s="60">
        <v>6713.5</v>
      </c>
      <c r="L13" s="60" t="s">
        <v>84</v>
      </c>
      <c r="M13" s="61" t="s">
        <v>78</v>
      </c>
      <c r="N13" s="61" t="s">
        <v>79</v>
      </c>
      <c r="O13" s="62" t="s">
        <v>80</v>
      </c>
      <c r="P13" s="62" t="s">
        <v>85</v>
      </c>
    </row>
    <row r="14" spans="1:16" ht="12.75" customHeight="1" thickBot="1">
      <c r="A14" s="9" t="str">
        <f t="shared" si="0"/>
        <v> BBS 102/103 </v>
      </c>
      <c r="B14" s="15" t="str">
        <f t="shared" si="1"/>
        <v>II</v>
      </c>
      <c r="C14" s="9">
        <f t="shared" si="2"/>
        <v>48771.51</v>
      </c>
      <c r="D14" s="13" t="str">
        <f t="shared" si="3"/>
        <v>vis</v>
      </c>
      <c r="E14" s="59">
        <f>VLOOKUP(C14,A!C$21:E$973,3,FALSE)</f>
        <v>6824.6285750690295</v>
      </c>
      <c r="F14" s="15" t="s">
        <v>67</v>
      </c>
      <c r="G14" s="13" t="str">
        <f t="shared" si="4"/>
        <v>48771.510</v>
      </c>
      <c r="H14" s="9">
        <f t="shared" si="5"/>
        <v>6824.5</v>
      </c>
      <c r="I14" s="60" t="s">
        <v>86</v>
      </c>
      <c r="J14" s="61" t="s">
        <v>87</v>
      </c>
      <c r="K14" s="60">
        <v>6824.5</v>
      </c>
      <c r="L14" s="60" t="s">
        <v>88</v>
      </c>
      <c r="M14" s="61" t="s">
        <v>78</v>
      </c>
      <c r="N14" s="61" t="s">
        <v>79</v>
      </c>
      <c r="O14" s="62" t="s">
        <v>80</v>
      </c>
      <c r="P14" s="62" t="s">
        <v>89</v>
      </c>
    </row>
    <row r="15" spans="1:16" ht="12.75" customHeight="1" thickBot="1">
      <c r="A15" s="9" t="str">
        <f t="shared" si="0"/>
        <v> BBS 111 </v>
      </c>
      <c r="B15" s="15" t="str">
        <f t="shared" si="1"/>
        <v>II</v>
      </c>
      <c r="C15" s="9">
        <f t="shared" si="2"/>
        <v>49843.439</v>
      </c>
      <c r="D15" s="13" t="str">
        <f t="shared" si="3"/>
        <v>vis</v>
      </c>
      <c r="E15" s="59">
        <f>VLOOKUP(C15,A!C$21:E$973,3,FALSE)</f>
        <v>7176.605026494909</v>
      </c>
      <c r="F15" s="15" t="s">
        <v>67</v>
      </c>
      <c r="G15" s="13" t="str">
        <f t="shared" si="4"/>
        <v>49843.439</v>
      </c>
      <c r="H15" s="9">
        <f t="shared" si="5"/>
        <v>7176.5</v>
      </c>
      <c r="I15" s="60" t="s">
        <v>90</v>
      </c>
      <c r="J15" s="61" t="s">
        <v>91</v>
      </c>
      <c r="K15" s="60">
        <v>7176.5</v>
      </c>
      <c r="L15" s="60" t="s">
        <v>92</v>
      </c>
      <c r="M15" s="61" t="s">
        <v>78</v>
      </c>
      <c r="N15" s="61" t="s">
        <v>79</v>
      </c>
      <c r="O15" s="62" t="s">
        <v>80</v>
      </c>
      <c r="P15" s="62" t="s">
        <v>93</v>
      </c>
    </row>
    <row r="16" spans="1:16" ht="12.75" customHeight="1" thickBot="1">
      <c r="A16" s="9" t="str">
        <f t="shared" si="0"/>
        <v>IBVS 5713 </v>
      </c>
      <c r="B16" s="15" t="str">
        <f t="shared" si="1"/>
        <v>II</v>
      </c>
      <c r="C16" s="9">
        <f t="shared" si="2"/>
        <v>53552.389</v>
      </c>
      <c r="D16" s="13" t="str">
        <f t="shared" si="3"/>
        <v>vis</v>
      </c>
      <c r="E16" s="59">
        <f>VLOOKUP(C16,A!C$21:E$973,3,FALSE)</f>
        <v>8394.468391993953</v>
      </c>
      <c r="F16" s="15" t="s">
        <v>67</v>
      </c>
      <c r="G16" s="13" t="str">
        <f t="shared" si="4"/>
        <v>53552.389</v>
      </c>
      <c r="H16" s="9">
        <f t="shared" si="5"/>
        <v>8394.5</v>
      </c>
      <c r="I16" s="60" t="s">
        <v>94</v>
      </c>
      <c r="J16" s="61" t="s">
        <v>95</v>
      </c>
      <c r="K16" s="60">
        <v>8394.5</v>
      </c>
      <c r="L16" s="60" t="s">
        <v>96</v>
      </c>
      <c r="M16" s="61" t="s">
        <v>78</v>
      </c>
      <c r="N16" s="61" t="s">
        <v>79</v>
      </c>
      <c r="O16" s="62" t="s">
        <v>80</v>
      </c>
      <c r="P16" s="63" t="s">
        <v>97</v>
      </c>
    </row>
    <row r="17" spans="1:16" ht="12.75" customHeight="1" thickBot="1">
      <c r="A17" s="9" t="str">
        <f t="shared" si="0"/>
        <v>OEJV 0048 </v>
      </c>
      <c r="B17" s="15" t="str">
        <f t="shared" si="1"/>
        <v>II</v>
      </c>
      <c r="C17" s="9">
        <f t="shared" si="2"/>
        <v>53893.457</v>
      </c>
      <c r="D17" s="13" t="str">
        <f t="shared" si="3"/>
        <v>vis</v>
      </c>
      <c r="E17" s="59">
        <f>VLOOKUP(C17,A!C$21:E$973,3,FALSE)</f>
        <v>8506.460794788281</v>
      </c>
      <c r="F17" s="15" t="s">
        <v>67</v>
      </c>
      <c r="G17" s="13" t="str">
        <f t="shared" si="4"/>
        <v>53893.457</v>
      </c>
      <c r="H17" s="9">
        <f t="shared" si="5"/>
        <v>8506.5</v>
      </c>
      <c r="I17" s="60" t="s">
        <v>98</v>
      </c>
      <c r="J17" s="61" t="s">
        <v>99</v>
      </c>
      <c r="K17" s="60">
        <v>8506.5</v>
      </c>
      <c r="L17" s="60" t="s">
        <v>100</v>
      </c>
      <c r="M17" s="61" t="s">
        <v>101</v>
      </c>
      <c r="N17" s="61" t="s">
        <v>102</v>
      </c>
      <c r="O17" s="62" t="s">
        <v>80</v>
      </c>
      <c r="P17" s="63" t="s">
        <v>103</v>
      </c>
    </row>
    <row r="18" spans="1:16" ht="12.75" customHeight="1" thickBot="1">
      <c r="A18" s="9" t="str">
        <f t="shared" si="0"/>
        <v>OEJV 0142 </v>
      </c>
      <c r="B18" s="15" t="str">
        <f t="shared" si="1"/>
        <v>II</v>
      </c>
      <c r="C18" s="9">
        <f t="shared" si="2"/>
        <v>55711.397</v>
      </c>
      <c r="D18" s="13" t="str">
        <f t="shared" si="3"/>
        <v>vis</v>
      </c>
      <c r="E18" s="59">
        <f>VLOOKUP(C18,A!C$21:E$973,3,FALSE)</f>
        <v>9103.395918388038</v>
      </c>
      <c r="F18" s="15" t="s">
        <v>67</v>
      </c>
      <c r="G18" s="13" t="str">
        <f t="shared" si="4"/>
        <v>55711.397</v>
      </c>
      <c r="H18" s="9">
        <f t="shared" si="5"/>
        <v>9103.5</v>
      </c>
      <c r="I18" s="60" t="s">
        <v>113</v>
      </c>
      <c r="J18" s="61" t="s">
        <v>114</v>
      </c>
      <c r="K18" s="60">
        <v>9103.5</v>
      </c>
      <c r="L18" s="60" t="s">
        <v>115</v>
      </c>
      <c r="M18" s="61" t="s">
        <v>101</v>
      </c>
      <c r="N18" s="61" t="s">
        <v>102</v>
      </c>
      <c r="O18" s="62" t="s">
        <v>80</v>
      </c>
      <c r="P18" s="63" t="s">
        <v>116</v>
      </c>
    </row>
    <row r="19" spans="1:16" ht="12.75" customHeight="1" thickBot="1">
      <c r="A19" s="9" t="str">
        <f t="shared" si="0"/>
        <v>OEJV 0155 </v>
      </c>
      <c r="B19" s="15" t="str">
        <f t="shared" si="1"/>
        <v>II</v>
      </c>
      <c r="C19" s="9">
        <f t="shared" si="2"/>
        <v>56113.34</v>
      </c>
      <c r="D19" s="13" t="str">
        <f t="shared" si="3"/>
        <v>vis</v>
      </c>
      <c r="E19" s="59">
        <f>VLOOKUP(C19,A!C$21:E$973,3,FALSE)</f>
        <v>9235.37711379881</v>
      </c>
      <c r="F19" s="15" t="s">
        <v>67</v>
      </c>
      <c r="G19" s="13" t="str">
        <f t="shared" si="4"/>
        <v>56113.3400</v>
      </c>
      <c r="H19" s="9">
        <f t="shared" si="5"/>
        <v>9235.5</v>
      </c>
      <c r="I19" s="60" t="s">
        <v>117</v>
      </c>
      <c r="J19" s="61" t="s">
        <v>118</v>
      </c>
      <c r="K19" s="60">
        <v>9235.5</v>
      </c>
      <c r="L19" s="60" t="s">
        <v>119</v>
      </c>
      <c r="M19" s="61" t="s">
        <v>101</v>
      </c>
      <c r="N19" s="61" t="s">
        <v>120</v>
      </c>
      <c r="O19" s="62" t="s">
        <v>80</v>
      </c>
      <c r="P19" s="63" t="s">
        <v>121</v>
      </c>
    </row>
    <row r="20" spans="1:16" ht="12.75" customHeight="1" thickBot="1">
      <c r="A20" s="9" t="str">
        <f t="shared" si="0"/>
        <v>IBVS 5806 </v>
      </c>
      <c r="B20" s="15" t="str">
        <f t="shared" si="1"/>
        <v>II</v>
      </c>
      <c r="C20" s="9">
        <f t="shared" si="2"/>
        <v>53975.6722</v>
      </c>
      <c r="D20" s="13" t="str">
        <f t="shared" si="3"/>
        <v>vis</v>
      </c>
      <c r="E20" s="59" t="e">
        <f>VLOOKUP(C20,A!C$21:E$973,3,FALSE)</f>
        <v>#N/A</v>
      </c>
      <c r="F20" s="15" t="s">
        <v>67</v>
      </c>
      <c r="G20" s="13" t="str">
        <f t="shared" si="4"/>
        <v>53975.6722</v>
      </c>
      <c r="H20" s="9">
        <f t="shared" si="5"/>
        <v>8533.5</v>
      </c>
      <c r="I20" s="60" t="s">
        <v>104</v>
      </c>
      <c r="J20" s="61" t="s">
        <v>105</v>
      </c>
      <c r="K20" s="60">
        <v>8533.5</v>
      </c>
      <c r="L20" s="60" t="s">
        <v>106</v>
      </c>
      <c r="M20" s="61" t="s">
        <v>101</v>
      </c>
      <c r="N20" s="61" t="s">
        <v>102</v>
      </c>
      <c r="O20" s="62" t="s">
        <v>107</v>
      </c>
      <c r="P20" s="63" t="s">
        <v>108</v>
      </c>
    </row>
    <row r="21" spans="1:16" ht="12.75" customHeight="1" thickBot="1">
      <c r="A21" s="9" t="str">
        <f t="shared" si="0"/>
        <v>OEJV 0073 </v>
      </c>
      <c r="B21" s="15" t="str">
        <f t="shared" si="1"/>
        <v>II</v>
      </c>
      <c r="C21" s="9">
        <f t="shared" si="2"/>
        <v>54289.325</v>
      </c>
      <c r="D21" s="13" t="str">
        <f t="shared" si="3"/>
        <v>vis</v>
      </c>
      <c r="E21" s="59" t="e">
        <f>VLOOKUP(C21,A!C$21:E$973,3,FALSE)</f>
        <v>#N/A</v>
      </c>
      <c r="F21" s="15" t="s">
        <v>67</v>
      </c>
      <c r="G21" s="13" t="str">
        <f t="shared" si="4"/>
        <v>54289.325</v>
      </c>
      <c r="H21" s="9">
        <f t="shared" si="5"/>
        <v>8636.5</v>
      </c>
      <c r="I21" s="60" t="s">
        <v>109</v>
      </c>
      <c r="J21" s="61" t="s">
        <v>110</v>
      </c>
      <c r="K21" s="60">
        <v>8636.5</v>
      </c>
      <c r="L21" s="60" t="s">
        <v>111</v>
      </c>
      <c r="M21" s="61" t="s">
        <v>101</v>
      </c>
      <c r="N21" s="61" t="s">
        <v>102</v>
      </c>
      <c r="O21" s="62" t="s">
        <v>80</v>
      </c>
      <c r="P21" s="63" t="s">
        <v>112</v>
      </c>
    </row>
    <row r="22" spans="2:6" ht="12.75">
      <c r="B22" s="15"/>
      <c r="F22" s="15"/>
    </row>
    <row r="23" spans="2:6" ht="12.75">
      <c r="B23" s="15"/>
      <c r="F23" s="15"/>
    </row>
    <row r="24" spans="2:6" ht="12.75">
      <c r="B24" s="15"/>
      <c r="F24" s="15"/>
    </row>
    <row r="25" spans="2:6" ht="12.75">
      <c r="B25" s="15"/>
      <c r="F25" s="15"/>
    </row>
    <row r="26" spans="2:6" ht="12.75">
      <c r="B26" s="15"/>
      <c r="F26" s="15"/>
    </row>
    <row r="27" spans="2:6" ht="12.75">
      <c r="B27" s="15"/>
      <c r="F27" s="15"/>
    </row>
    <row r="28" spans="2:6" ht="12.75">
      <c r="B28" s="15"/>
      <c r="F28" s="15"/>
    </row>
    <row r="29" spans="2:6" ht="12.75">
      <c r="B29" s="15"/>
      <c r="F29" s="15"/>
    </row>
    <row r="30" spans="2:6" ht="12.75">
      <c r="B30" s="15"/>
      <c r="F30" s="15"/>
    </row>
    <row r="31" spans="2:6" ht="12.75">
      <c r="B31" s="15"/>
      <c r="F31" s="15"/>
    </row>
    <row r="32" spans="2:6" ht="12.75">
      <c r="B32" s="15"/>
      <c r="F32" s="15"/>
    </row>
    <row r="33" spans="2:6" ht="12.75">
      <c r="B33" s="15"/>
      <c r="F33" s="15"/>
    </row>
    <row r="34" spans="2:6" ht="12.75">
      <c r="B34" s="15"/>
      <c r="F34" s="15"/>
    </row>
    <row r="35" spans="2:6" ht="12.75">
      <c r="B35" s="15"/>
      <c r="F35" s="15"/>
    </row>
    <row r="36" spans="2:6" ht="12.75">
      <c r="B36" s="15"/>
      <c r="F36" s="15"/>
    </row>
    <row r="37" spans="2:6" ht="12.75">
      <c r="B37" s="15"/>
      <c r="F37" s="15"/>
    </row>
    <row r="38" spans="2:6" ht="12.75">
      <c r="B38" s="15"/>
      <c r="F38" s="15"/>
    </row>
    <row r="39" spans="2:6" ht="12.75">
      <c r="B39" s="15"/>
      <c r="F39" s="15"/>
    </row>
    <row r="40" spans="2:6" ht="12.75">
      <c r="B40" s="15"/>
      <c r="F40" s="15"/>
    </row>
    <row r="41" spans="2:6" ht="12.75">
      <c r="B41" s="15"/>
      <c r="F41" s="15"/>
    </row>
    <row r="42" spans="2:6" ht="12.75">
      <c r="B42" s="15"/>
      <c r="F42" s="15"/>
    </row>
    <row r="43" spans="2:6" ht="12.75">
      <c r="B43" s="15"/>
      <c r="F43" s="15"/>
    </row>
    <row r="44" spans="2:6" ht="12.75">
      <c r="B44" s="15"/>
      <c r="F44" s="15"/>
    </row>
    <row r="45" spans="2:6" ht="12.75">
      <c r="B45" s="15"/>
      <c r="F45" s="15"/>
    </row>
    <row r="46" spans="2:6" ht="12.75">
      <c r="B46" s="15"/>
      <c r="F46" s="15"/>
    </row>
    <row r="47" spans="2:6" ht="12.75">
      <c r="B47" s="15"/>
      <c r="F47" s="15"/>
    </row>
    <row r="48" spans="2:6" ht="12.75">
      <c r="B48" s="15"/>
      <c r="F48" s="15"/>
    </row>
    <row r="49" spans="2:6" ht="12.75">
      <c r="B49" s="15"/>
      <c r="F49" s="15"/>
    </row>
    <row r="50" spans="2:6" ht="12.75">
      <c r="B50" s="15"/>
      <c r="F50" s="15"/>
    </row>
    <row r="51" spans="2:6" ht="12.75">
      <c r="B51" s="15"/>
      <c r="F51" s="15"/>
    </row>
    <row r="52" spans="2:6" ht="12.75">
      <c r="B52" s="15"/>
      <c r="F52" s="15"/>
    </row>
    <row r="53" spans="2:6" ht="12.75">
      <c r="B53" s="15"/>
      <c r="F53" s="15"/>
    </row>
    <row r="54" spans="2:6" ht="12.75">
      <c r="B54" s="15"/>
      <c r="F54" s="15"/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</sheetData>
  <sheetProtection/>
  <hyperlinks>
    <hyperlink ref="P16" r:id="rId1" display="http://www.konkoly.hu/cgi-bin/IBVS?5713"/>
    <hyperlink ref="P17" r:id="rId2" display="http://var.astro.cz/oejv/issues/oejv0048.pdf"/>
    <hyperlink ref="P20" r:id="rId3" display="http://www.konkoly.hu/cgi-bin/IBVS?5806"/>
    <hyperlink ref="P21" r:id="rId4" display="http://var.astro.cz/oejv/issues/oejv0073.pdf"/>
    <hyperlink ref="P18" r:id="rId5" display="http://var.astro.cz/oejv/issues/oejv0142.pdf"/>
    <hyperlink ref="P19" r:id="rId6" display="http://var.astro.cz/oejv/issues/oejv0155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