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3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<sst xmlns="http://schemas.openxmlformats.org/spreadsheetml/2006/main" count="259" uniqueCount="153">
  <si>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</si>
  <si>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</si>
  <si>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</si>
  <si>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</si>
  <si>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</si>
  <si>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</si>
  <si>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</si>
  <si>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</si>
  <si>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</si>
  <si>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</si>
  <si>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</si>
  <si>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</si>
  <si>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</si>
  <si>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</si>
  <si>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</si>
  <si>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</si>
  <si>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</si>
  <si>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</si>
  <si>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</si>
  <si>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</si>
  <si>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</si>
  <si>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</si>
  <si>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</si>
  <si>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</si>
  <si>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</si>
  <si>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</si>
  <si>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</si>
  <si>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not avail.</t>
  </si>
  <si>
    <t>II</t>
  </si>
  <si>
    <t>Baldwin epoch</t>
  </si>
  <si>
    <t>IBVS 5060</t>
  </si>
  <si>
    <t>I</t>
  </si>
  <si>
    <t>IBVS</t>
  </si>
  <si>
    <t>Krajci</t>
  </si>
  <si>
    <t>IBVS 5592</t>
  </si>
  <si>
    <t># of data points:</t>
  </si>
  <si>
    <t>V2553 Oph / GSC 01003-01915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</si>
  <si>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</si>
  <si>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</si>
  <si>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</si>
  <si>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</si>
  <si>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</si>
  <si>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</si>
  <si>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</si>
  <si>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5945</t>
  </si>
  <si>
    <t>Add cycle</t>
  </si>
  <si>
    <t>Old Cycle</t>
  </si>
  <si>
    <t>IBVS 5918</t>
  </si>
  <si>
    <t>IBVS 5992</t>
  </si>
  <si>
    <t>OEJV 0160</t>
  </si>
  <si>
    <t>OEJV</t>
  </si>
  <si>
    <t>EW</t>
  </si>
  <si>
    <t>RHN 2016</t>
  </si>
  <si>
    <t>Nelson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</si>
  <si>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</si>
  <si>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</si>
  <si>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</si>
  <si>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</si>
  <si>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</si>
  <si>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</si>
  <si>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</si>
  <si>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</si>
  <si>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</si>
  <si>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</si>
  <si>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</si>
  <si>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2452820.2345 </t>
  </si>
  <si>
    <t> 29.06.2003 17:37 </t>
  </si>
  <si>
    <t> 0.0006 </t>
  </si>
  <si>
    <t>C </t>
  </si>
  <si>
    <t>o</t>
  </si>
  <si>
    <t> T.Krajci </t>
  </si>
  <si>
    <t>IBVS 5592 </t>
  </si>
  <si>
    <t>2453503.4509 </t>
  </si>
  <si>
    <t> 12.05.2005 22:49 </t>
  </si>
  <si>
    <t> -0.0011 </t>
  </si>
  <si>
    <t>-I</t>
  </si>
  <si>
    <t> F.Agerer </t>
  </si>
  <si>
    <t>BAVM 186 </t>
  </si>
  <si>
    <t>2454219.3874 </t>
  </si>
  <si>
    <t> 28.04.2007 21:17 </t>
  </si>
  <si>
    <t>3756.5</t>
  </si>
  <si>
    <t> -0.0022 </t>
  </si>
  <si>
    <t>2454239.5251 </t>
  </si>
  <si>
    <t> 19.05.2007 00:36 </t>
  </si>
  <si>
    <t>3800.5</t>
  </si>
  <si>
    <t> 0.0005 </t>
  </si>
  <si>
    <t>2454630.1003 </t>
  </si>
  <si>
    <t> 12.06.2008 14:24 </t>
  </si>
  <si>
    <t>4654</t>
  </si>
  <si>
    <t> 0.0018 </t>
  </si>
  <si>
    <t> H.Itoh </t>
  </si>
  <si>
    <t>VSB 48 </t>
  </si>
  <si>
    <t>2454971.4790 </t>
  </si>
  <si>
    <t> 19.05.2009 23:29 </t>
  </si>
  <si>
    <t>5400</t>
  </si>
  <si>
    <t> 0.0003 </t>
  </si>
  <si>
    <t>BAVM 209 </t>
  </si>
  <si>
    <t>2455321.7816 </t>
  </si>
  <si>
    <t> 05.05.2010 06:45 </t>
  </si>
  <si>
    <t>6165.5</t>
  </si>
  <si>
    <t> -0.0009 </t>
  </si>
  <si>
    <t> R.Diethelm </t>
  </si>
  <si>
    <t>IBVS 5945 </t>
  </si>
  <si>
    <t>2455726.7723 </t>
  </si>
  <si>
    <t> 14.06.2011 06:32 </t>
  </si>
  <si>
    <t>7050.5</t>
  </si>
  <si>
    <t> 0.0012 </t>
  </si>
  <si>
    <t>IBVS 5992 </t>
  </si>
  <si>
    <t>2456045.49861 </t>
  </si>
  <si>
    <t> 27.04.2012 23:57 </t>
  </si>
  <si>
    <t>7747</t>
  </si>
  <si>
    <t> -0.00087 </t>
  </si>
  <si>
    <t> K.Honkova </t>
  </si>
  <si>
    <t>OEJV 0160 </t>
  </si>
  <si>
    <t>2456045.49891 </t>
  </si>
  <si>
    <t> 27.04.2012 23:58 </t>
  </si>
  <si>
    <t> -0.00057 </t>
  </si>
  <si>
    <t>2456045.50061 </t>
  </si>
  <si>
    <t> 28.04.2012 00:00 </t>
  </si>
  <si>
    <t> 0.00113 </t>
  </si>
  <si>
    <t>R</t>
  </si>
  <si>
    <t>2456047.56082 </t>
  </si>
  <si>
    <t> 30.04.2012 01:27 </t>
  </si>
  <si>
    <t>7751.5</t>
  </si>
  <si>
    <t> 0.00207 </t>
  </si>
  <si>
    <t>2456048.47565 </t>
  </si>
  <si>
    <t> 30.04.2012 23:24 </t>
  </si>
  <si>
    <t>7753.5</t>
  </si>
  <si>
    <t> 0.00167 </t>
  </si>
  <si>
    <t>2456073.41254 </t>
  </si>
  <si>
    <t> 25.05.2012 21:54 </t>
  </si>
  <si>
    <t>7808</t>
  </si>
  <si>
    <t> -0.00141 </t>
  </si>
  <si>
    <t>2456105.44559 </t>
  </si>
  <si>
    <t> 26.06.2012 22:41 </t>
  </si>
  <si>
    <t>7878</t>
  </si>
  <si>
    <t> -0.00137 </t>
  </si>
  <si>
    <t>2456121.46398 </t>
  </si>
  <si>
    <t> 12.07.2012 23:08 </t>
  </si>
  <si>
    <t>7913</t>
  </si>
  <si>
    <t> 0.00052 </t>
  </si>
  <si>
    <t>2456125.1240 </t>
  </si>
  <si>
    <t> 16.07.2012 14:58 </t>
  </si>
  <si>
    <t>7921</t>
  </si>
  <si>
    <t> -0.0004 </t>
  </si>
  <si>
    <t>Rc</t>
  </si>
  <si>
    <t> K.Shiokawa </t>
  </si>
  <si>
    <t>VSB 55 </t>
  </si>
  <si>
    <t>2456127.41231 </t>
  </si>
  <si>
    <t> 18.07.2012 21:53 </t>
  </si>
  <si>
    <t>7926</t>
  </si>
  <si>
    <t> -0.00013 </t>
  </si>
  <si>
    <t>BAD?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</si>
</sst>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0" xfId="0" applyFont="1" applyAlignment="1">
      <alignment horizontal="left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0" xfId="0" applyFont="1" applyFill="1" applyBorder="1" applyAlignment="1">
      <alignment horizontal="left" vertical="top" wrapText="1" inden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right" vertical="top" wrapText="1"/>
    </xf>
    <xf numFmtId="0" fontId="15" fillId="33" borderId="20" xfId="54" applyFill="1" applyBorder="1" applyAlignment="1" applyProtection="1">
      <alignment horizontal="right" vertical="top" wrapText="1"/>
      <protection/>
    </xf>
    <xf numFmtId="0" fontId="16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V2553 Oph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525"/>
          <c:w val="0.9117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0.0011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0.0001</c:v>
                  </c:pt>
                  <c:pt idx="4">
                    <c:v>0.0001</c:v>
                  </c:pt>
                  <c:pt idx="5">
                    <c:v>0.002</c:v>
                  </c:pt>
                  <c:pt idx="6">
                    <c:v>0.0002</c:v>
                  </c:pt>
                  <c:pt idx="7">
                    <c:v>0.0016</c:v>
                  </c:pt>
                  <c:pt idx="8">
                    <c:v>0.0001</c:v>
                  </c:pt>
                  <c:pt idx="9">
                    <c:v>0.0015</c:v>
                  </c:pt>
                  <c:pt idx="10">
                    <c:v>NaN</c:v>
                  </c:pt>
                  <c:pt idx="11">
                    <c:v>0.0015</c:v>
                  </c:pt>
                  <c:pt idx="12">
                    <c:v>0.0004</c:v>
                  </c:pt>
                  <c:pt idx="13">
                    <c:v>0.0012</c:v>
                  </c:pt>
                  <c:pt idx="14">
                    <c:v>0.0004</c:v>
                  </c:pt>
                  <c:pt idx="15">
                    <c:v>0.0004</c:v>
                  </c:pt>
                  <c:pt idx="16">
                    <c:v>0.0003</c:v>
                  </c:pt>
                  <c:pt idx="17">
                    <c:v>0.0002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0.0008</c:v>
                  </c:pt>
                  <c:pt idx="21">
                    <c:v>0.0001</c:v>
                  </c:pt>
                  <c:pt idx="22">
                    <c:v>NaN</c:v>
                  </c:pt>
                  <c:pt idx="23">
                    <c:v>0.0002</c:v>
                  </c:pt>
                  <c:pt idx="24">
                    <c:v>0.0002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4501129"/>
        <c:axId val="43639250"/>
      </c:scatterChart>
      <c:valAx>
        <c:axId val="6450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9250"/>
        <c:crosses val="autoZero"/>
        <c:crossBetween val="midCat"/>
        <c:dispUnits/>
      </c:valAx>
      <c:valAx>
        <c:axId val="4363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11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305"/>
          <c:w val="0.841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17</xdr:col>
      <xdr:colOff>247650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91050" y="0"/>
        <a:ext cx="6410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92" TargetMode="External" /><Relationship Id="rId2" Type="http://schemas.openxmlformats.org/officeDocument/2006/relationships/hyperlink" Target="http://www.bav-astro.de/sfs/BAVM_link.php?BAVMnr=186" TargetMode="External" /><Relationship Id="rId3" Type="http://schemas.openxmlformats.org/officeDocument/2006/relationships/hyperlink" Target="http://www.bav-astro.de/sfs/BAVM_link.php?BAVMnr=186" TargetMode="External" /><Relationship Id="rId4" Type="http://schemas.openxmlformats.org/officeDocument/2006/relationships/hyperlink" Target="http://www.bav-astro.de/sfs/BAVM_link.php?BAVMnr=186" TargetMode="External" /><Relationship Id="rId5" Type="http://schemas.openxmlformats.org/officeDocument/2006/relationships/hyperlink" Target="http://vsolj.cetus-net.org/no48.pdf" TargetMode="External" /><Relationship Id="rId6" Type="http://schemas.openxmlformats.org/officeDocument/2006/relationships/hyperlink" Target="http://www.bav-astro.de/sfs/BAVM_link.php?BAVMnr=209" TargetMode="External" /><Relationship Id="rId7" Type="http://schemas.openxmlformats.org/officeDocument/2006/relationships/hyperlink" Target="http://www.konkoly.hu/cgi-bin/IBVS?5945" TargetMode="External" /><Relationship Id="rId8" Type="http://schemas.openxmlformats.org/officeDocument/2006/relationships/hyperlink" Target="http://www.konkoly.hu/cgi-bin/IBVS?5992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var.astro.cz/oejv/issues/oejv0160.pdf" TargetMode="External" /><Relationship Id="rId14" Type="http://schemas.openxmlformats.org/officeDocument/2006/relationships/hyperlink" Target="http://var.astro.cz/oejv/issues/oejv0160.pdf" TargetMode="External" /><Relationship Id="rId15" Type="http://schemas.openxmlformats.org/officeDocument/2006/relationships/hyperlink" Target="http://var.astro.cz/oejv/issues/oejv0160.pdf" TargetMode="External" /><Relationship Id="rId16" Type="http://schemas.openxmlformats.org/officeDocument/2006/relationships/hyperlink" Target="http://var.astro.cz/oejv/issues/oejv0160.pdf" TargetMode="External" /><Relationship Id="rId17" Type="http://schemas.openxmlformats.org/officeDocument/2006/relationships/hyperlink" Target="http://vsolj.cetus-net.org/vsoljno55.pdf" TargetMode="External" /><Relationship Id="rId18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36</v>
      </c>
      <c r="B1" s="1"/>
    </row>
    <row r="2" spans="1:2" ht="12.75">
      <c r="A2" t="s">
        <v>24</v>
      </c>
      <c r="B2" s="17" t="s">
        <v>51</v>
      </c>
    </row>
    <row r="3" ht="13.5" thickBot="1"/>
    <row r="4" spans="1:4" ht="13.5" thickBot="1">
      <c r="A4" s="5" t="s">
        <v>0</v>
      </c>
      <c r="B4" s="5"/>
      <c r="C4" s="8" t="s">
        <v>27</v>
      </c>
      <c r="D4" s="9" t="s">
        <v>27</v>
      </c>
    </row>
    <row r="5" spans="1:4" ht="12.75">
      <c r="A5" s="18" t="s">
        <v>37</v>
      </c>
      <c r="B5" s="19"/>
      <c r="C5" s="20">
        <v>-9.5</v>
      </c>
      <c r="D5" s="19" t="s">
        <v>38</v>
      </c>
    </row>
    <row r="6" ht="12.75">
      <c r="A6" s="5" t="s">
        <v>1</v>
      </c>
    </row>
    <row r="7" spans="1:3" ht="12.75">
      <c r="A7" t="s">
        <v>2</v>
      </c>
      <c r="C7" s="10">
        <v>52820.2345</v>
      </c>
    </row>
    <row r="8" spans="1:3" ht="12.75">
      <c r="A8" t="s">
        <v>3</v>
      </c>
      <c r="C8" s="12">
        <v>0.45761526</v>
      </c>
    </row>
    <row r="9" spans="1:4" ht="12.75">
      <c r="A9" s="35" t="s">
        <v>43</v>
      </c>
      <c r="B9" s="36">
        <v>21</v>
      </c>
      <c r="C9" s="33" t="str">
        <f>"F"&amp;B9</f>
        <v>F21</v>
      </c>
      <c r="D9" s="34" t="str">
        <f>"G"&amp;B9</f>
        <v>G21</v>
      </c>
    </row>
    <row r="10" spans="1:5" ht="13.5" thickBot="1">
      <c r="A10" s="19"/>
      <c r="B10" s="19"/>
      <c r="C10" s="4" t="s">
        <v>20</v>
      </c>
      <c r="D10" s="4" t="s">
        <v>21</v>
      </c>
      <c r="E10" s="19"/>
    </row>
    <row r="11" spans="1:5" ht="12.75">
      <c r="A11" s="19" t="s">
        <v>16</v>
      </c>
      <c r="B11" s="19"/>
      <c r="C11" s="32">
        <f ca="1">INTERCEPT(INDIRECT($D$9):G992,INDIRECT($C$9):F992)</f>
        <v>-0.0005124583855036918</v>
      </c>
      <c r="D11" s="3"/>
      <c r="E11" s="19"/>
    </row>
    <row r="12" spans="1:5" ht="12.75">
      <c r="A12" s="19" t="s">
        <v>17</v>
      </c>
      <c r="B12" s="19"/>
      <c r="C12" s="32">
        <f ca="1">SLOPE(INDIRECT($D$9):G992,INDIRECT($C$9):F992)</f>
        <v>-9.609692534053188E-07</v>
      </c>
      <c r="D12" s="3"/>
      <c r="E12" s="19"/>
    </row>
    <row r="13" spans="1:3" ht="12.75">
      <c r="A13" s="19" t="s">
        <v>19</v>
      </c>
      <c r="B13" s="19"/>
      <c r="C13" s="3" t="s">
        <v>14</v>
      </c>
    </row>
    <row r="14" spans="1:3" ht="12.75">
      <c r="A14" s="19"/>
      <c r="B14" s="19"/>
      <c r="C14" s="19"/>
    </row>
    <row r="15" spans="1:6" ht="12.75">
      <c r="A15" s="21" t="s">
        <v>18</v>
      </c>
      <c r="B15" s="19"/>
      <c r="C15" s="22">
        <f>(C7+C11)+(C8+C12)*INT(MAX(F21:F3533))</f>
        <v>57531.83081036218</v>
      </c>
      <c r="E15" s="23" t="s">
        <v>45</v>
      </c>
      <c r="F15" s="20">
        <v>1</v>
      </c>
    </row>
    <row r="16" spans="1:6" ht="12.75">
      <c r="A16" s="25" t="s">
        <v>4</v>
      </c>
      <c r="B16" s="19"/>
      <c r="C16" s="26">
        <f>+C8+C12</f>
        <v>0.45761429903074663</v>
      </c>
      <c r="E16" s="23" t="s">
        <v>39</v>
      </c>
      <c r="F16" s="24">
        <f ca="1">NOW()+15018.5+$C$5/24</f>
        <v>59904.74509131944</v>
      </c>
    </row>
    <row r="17" spans="1:6" ht="13.5" thickBot="1">
      <c r="A17" s="23" t="s">
        <v>35</v>
      </c>
      <c r="B17" s="19"/>
      <c r="C17" s="19">
        <f>COUNT(C21:C2191)</f>
        <v>25</v>
      </c>
      <c r="E17" s="23" t="s">
        <v>46</v>
      </c>
      <c r="F17" s="24">
        <f>ROUND(2*(F16-$C$7)/$C$8,0)/2+F15</f>
        <v>15482.5</v>
      </c>
    </row>
    <row r="18" spans="1:6" ht="14.25" thickBot="1" thickTop="1">
      <c r="A18" s="25" t="s">
        <v>5</v>
      </c>
      <c r="B18" s="19"/>
      <c r="C18" s="28">
        <f>+C15</f>
        <v>57531.83081036218</v>
      </c>
      <c r="D18" s="29">
        <f>+C16</f>
        <v>0.45761429903074663</v>
      </c>
      <c r="E18" s="23" t="s">
        <v>40</v>
      </c>
      <c r="F18" s="34">
        <f>ROUND(2*(F16-$C$15)/$C$16,0)/2+F15</f>
        <v>5186.5</v>
      </c>
    </row>
    <row r="19" spans="5:6" ht="13.5" thickTop="1">
      <c r="E19" s="23" t="s">
        <v>41</v>
      </c>
      <c r="F19" s="27">
        <f>+$C$15+$C$16*F18-15018.5-$C$5/24</f>
        <v>44887.143205618486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32</v>
      </c>
      <c r="J20" s="7" t="s">
        <v>33</v>
      </c>
      <c r="K20" s="7" t="s">
        <v>50</v>
      </c>
      <c r="L20" s="7" t="s">
        <v>53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  <c r="U20" s="57" t="s">
        <v>152</v>
      </c>
    </row>
    <row r="21" spans="1:17" ht="12.75">
      <c r="A21" t="s">
        <v>30</v>
      </c>
      <c r="B21" s="3" t="s">
        <v>28</v>
      </c>
      <c r="C21" s="14">
        <v>51283.7923</v>
      </c>
      <c r="D21" s="14">
        <v>0.0011</v>
      </c>
      <c r="E21" s="13">
        <f aca="true" t="shared" si="0" ref="E21:E45">+(C21-C$7)/C$8</f>
        <v>-3357.4977372913604</v>
      </c>
      <c r="F21">
        <f aca="true" t="shared" si="1" ref="F21:F45">ROUND(2*E21,0)/2</f>
        <v>-3357.5</v>
      </c>
      <c r="G21" s="10"/>
      <c r="H21" s="10"/>
      <c r="I21" s="31">
        <v>0.0010354500045650639</v>
      </c>
      <c r="O21">
        <f aca="true" t="shared" si="2" ref="O21:O45">+C$11+C$12*$F21</f>
        <v>0.002713995882804666</v>
      </c>
      <c r="Q21" s="2">
        <f aca="true" t="shared" si="3" ref="Q21:Q45">+C21-15018.5</f>
        <v>36265.2923</v>
      </c>
    </row>
    <row r="22" spans="1:17" ht="12.75">
      <c r="A22" t="s">
        <v>30</v>
      </c>
      <c r="B22" s="3" t="s">
        <v>31</v>
      </c>
      <c r="C22" s="11">
        <v>51306.9009</v>
      </c>
      <c r="D22" s="11">
        <v>0.0005</v>
      </c>
      <c r="E22" s="13">
        <f t="shared" si="0"/>
        <v>-3306.9998583526212</v>
      </c>
      <c r="F22">
        <f t="shared" si="1"/>
        <v>-3307</v>
      </c>
      <c r="G22" s="10"/>
      <c r="H22" s="10"/>
      <c r="I22" s="31">
        <v>6.4820000261534E-05</v>
      </c>
      <c r="O22">
        <f t="shared" si="2"/>
        <v>0.0026654669355076974</v>
      </c>
      <c r="Q22" s="2">
        <f t="shared" si="3"/>
        <v>36288.4009</v>
      </c>
    </row>
    <row r="23" spans="1:17" ht="12.75">
      <c r="A23" t="s">
        <v>29</v>
      </c>
      <c r="B23" s="3"/>
      <c r="C23" s="14">
        <v>52818.8618</v>
      </c>
      <c r="D23" s="14"/>
      <c r="E23" s="13">
        <f t="shared" si="0"/>
        <v>-2.999681435448405</v>
      </c>
      <c r="F23">
        <f t="shared" si="1"/>
        <v>-3</v>
      </c>
      <c r="G23" s="10">
        <f>+C23-(C$7+F23*C$8)</f>
        <v>0.0001457800026400946</v>
      </c>
      <c r="H23" s="10"/>
      <c r="N23" s="10">
        <f>+G23</f>
        <v>0.0001457800026400946</v>
      </c>
      <c r="O23">
        <f t="shared" si="2"/>
        <v>-0.0005095754777434759</v>
      </c>
      <c r="Q23" s="2">
        <f t="shared" si="3"/>
        <v>37800.3618</v>
      </c>
    </row>
    <row r="24" spans="1:17" ht="12.75">
      <c r="A24" s="16" t="s">
        <v>34</v>
      </c>
      <c r="B24" s="3"/>
      <c r="C24" s="14">
        <v>52820.2345</v>
      </c>
      <c r="D24" s="14">
        <v>0.0001</v>
      </c>
      <c r="E24" s="13">
        <f t="shared" si="0"/>
        <v>0</v>
      </c>
      <c r="F24">
        <f t="shared" si="1"/>
        <v>0</v>
      </c>
      <c r="G24" s="10">
        <f>+C24-(C$7+F24*C$8)</f>
        <v>0</v>
      </c>
      <c r="H24" s="10"/>
      <c r="J24" s="10">
        <f>+G24</f>
        <v>0</v>
      </c>
      <c r="O24">
        <f t="shared" si="2"/>
        <v>-0.0005124583855036918</v>
      </c>
      <c r="Q24" s="2">
        <f t="shared" si="3"/>
        <v>37801.7345</v>
      </c>
    </row>
    <row r="25" spans="1:17" ht="12.75">
      <c r="A25" s="16" t="s">
        <v>34</v>
      </c>
      <c r="B25" s="3" t="s">
        <v>28</v>
      </c>
      <c r="C25" s="15">
        <v>52823.209</v>
      </c>
      <c r="D25" s="14">
        <v>0.0001</v>
      </c>
      <c r="E25" s="13">
        <f t="shared" si="0"/>
        <v>6.500001770054389</v>
      </c>
      <c r="F25">
        <f t="shared" si="1"/>
        <v>6.5</v>
      </c>
      <c r="G25" s="10">
        <f>+C25-(C$7+F25*C$8)</f>
        <v>8.100032573565841E-07</v>
      </c>
      <c r="H25" s="10"/>
      <c r="J25" s="10">
        <f>+G25</f>
        <v>8.100032573565841E-07</v>
      </c>
      <c r="O25">
        <f t="shared" si="2"/>
        <v>-0.0005187046856508264</v>
      </c>
      <c r="Q25" s="2">
        <f t="shared" si="3"/>
        <v>37804.709</v>
      </c>
    </row>
    <row r="26" spans="1:17" ht="12.75">
      <c r="A26" s="16" t="s">
        <v>34</v>
      </c>
      <c r="B26" s="3"/>
      <c r="C26" s="14">
        <v>53112.4254</v>
      </c>
      <c r="D26" s="14">
        <v>0.002</v>
      </c>
      <c r="E26" s="13">
        <f t="shared" si="0"/>
        <v>638.5077717906553</v>
      </c>
      <c r="F26">
        <f t="shared" si="1"/>
        <v>638.5</v>
      </c>
      <c r="G26" s="10"/>
      <c r="H26" s="10"/>
      <c r="J26" s="31">
        <v>0.0035564900026656687</v>
      </c>
      <c r="O26">
        <f t="shared" si="2"/>
        <v>-0.0011260372538029878</v>
      </c>
      <c r="Q26" s="2">
        <f t="shared" si="3"/>
        <v>38093.9254</v>
      </c>
    </row>
    <row r="27" spans="1:17" ht="12.75">
      <c r="A27" s="16" t="s">
        <v>34</v>
      </c>
      <c r="B27" s="3"/>
      <c r="C27" s="14">
        <v>53125.4623</v>
      </c>
      <c r="D27" s="14">
        <v>0.0002</v>
      </c>
      <c r="E27" s="13">
        <f t="shared" si="0"/>
        <v>666.9965507706202</v>
      </c>
      <c r="F27">
        <f t="shared" si="1"/>
        <v>667</v>
      </c>
      <c r="G27" s="10">
        <f aca="true" t="shared" si="4" ref="G27:G44">+C27-(C$7+F27*C$8)</f>
        <v>-0.001578420000441838</v>
      </c>
      <c r="H27" s="10"/>
      <c r="J27" s="10">
        <f>+G27</f>
        <v>-0.001578420000441838</v>
      </c>
      <c r="O27">
        <f t="shared" si="2"/>
        <v>-0.0011534248775250393</v>
      </c>
      <c r="Q27" s="2">
        <f t="shared" si="3"/>
        <v>38106.9623</v>
      </c>
    </row>
    <row r="28" spans="1:17" ht="12.75">
      <c r="A28" s="30" t="s">
        <v>42</v>
      </c>
      <c r="B28" s="37"/>
      <c r="C28" s="30">
        <v>53503.4509</v>
      </c>
      <c r="D28" s="30">
        <v>0.0016</v>
      </c>
      <c r="E28" s="13">
        <f t="shared" si="0"/>
        <v>1492.993043981979</v>
      </c>
      <c r="F28">
        <f t="shared" si="1"/>
        <v>1493</v>
      </c>
      <c r="G28" s="10">
        <f t="shared" si="4"/>
        <v>-0.0031831799933570437</v>
      </c>
      <c r="H28" s="10"/>
      <c r="J28" s="10">
        <f>+G28</f>
        <v>-0.0031831799933570437</v>
      </c>
      <c r="O28">
        <f t="shared" si="2"/>
        <v>-0.0019471854808378328</v>
      </c>
      <c r="Q28" s="2">
        <f t="shared" si="3"/>
        <v>38484.9509</v>
      </c>
    </row>
    <row r="29" spans="1:17" ht="12.75">
      <c r="A29" s="30" t="s">
        <v>42</v>
      </c>
      <c r="B29" s="37"/>
      <c r="C29" s="30">
        <v>54219.3874</v>
      </c>
      <c r="D29" s="30">
        <v>0.0001</v>
      </c>
      <c r="E29" s="13">
        <f t="shared" si="0"/>
        <v>3057.487418579531</v>
      </c>
      <c r="F29">
        <f t="shared" si="1"/>
        <v>3057.5</v>
      </c>
      <c r="G29" s="10">
        <f t="shared" si="4"/>
        <v>-0.005757450002420228</v>
      </c>
      <c r="H29" s="10"/>
      <c r="J29" s="10">
        <f>+G29</f>
        <v>-0.005757450002420228</v>
      </c>
      <c r="O29">
        <f t="shared" si="2"/>
        <v>-0.003450621877790454</v>
      </c>
      <c r="Q29" s="2">
        <f t="shared" si="3"/>
        <v>39200.8874</v>
      </c>
    </row>
    <row r="30" spans="1:17" ht="12.75">
      <c r="A30" s="30" t="s">
        <v>42</v>
      </c>
      <c r="B30" s="37"/>
      <c r="C30" s="30">
        <v>54239.5251</v>
      </c>
      <c r="D30" s="30">
        <v>0.0015</v>
      </c>
      <c r="E30" s="13">
        <f t="shared" si="0"/>
        <v>3101.493162618747</v>
      </c>
      <c r="F30">
        <f t="shared" si="1"/>
        <v>3101.5</v>
      </c>
      <c r="G30" s="10">
        <f t="shared" si="4"/>
        <v>-0.0031288899990613572</v>
      </c>
      <c r="H30" s="10"/>
      <c r="J30" s="10">
        <f>+G30</f>
        <v>-0.0031288899990613572</v>
      </c>
      <c r="O30">
        <f t="shared" si="2"/>
        <v>-0.003492904524940288</v>
      </c>
      <c r="Q30" s="2">
        <f t="shared" si="3"/>
        <v>39221.0251</v>
      </c>
    </row>
    <row r="31" spans="1:17" ht="12.75">
      <c r="A31" t="s">
        <v>91</v>
      </c>
      <c r="B31" t="s">
        <v>31</v>
      </c>
      <c r="C31" s="11">
        <v>54630.1003</v>
      </c>
      <c r="D31" s="11"/>
      <c r="E31" s="13">
        <f t="shared" si="0"/>
        <v>3954.99442042208</v>
      </c>
      <c r="F31">
        <f t="shared" si="1"/>
        <v>3955</v>
      </c>
      <c r="G31" s="10">
        <f t="shared" si="4"/>
        <v>-0.0025533000007271767</v>
      </c>
      <c r="H31" s="10"/>
      <c r="M31" s="10">
        <f>+G31</f>
        <v>-0.0025533000007271767</v>
      </c>
      <c r="O31">
        <f t="shared" si="2"/>
        <v>-0.0043130917827217275</v>
      </c>
      <c r="Q31" s="2">
        <f t="shared" si="3"/>
        <v>39611.6003</v>
      </c>
    </row>
    <row r="32" spans="1:17" ht="12.75">
      <c r="A32" s="38" t="s">
        <v>47</v>
      </c>
      <c r="B32" s="39" t="s">
        <v>31</v>
      </c>
      <c r="C32" s="38">
        <v>54971.479</v>
      </c>
      <c r="D32" s="38">
        <v>0.0015</v>
      </c>
      <c r="E32" s="13">
        <f t="shared" si="0"/>
        <v>4700.989429417194</v>
      </c>
      <c r="F32">
        <f t="shared" si="1"/>
        <v>4701</v>
      </c>
      <c r="G32" s="10">
        <f t="shared" si="4"/>
        <v>-0.004837259999476373</v>
      </c>
      <c r="H32" s="10"/>
      <c r="J32" s="10">
        <f>+G32</f>
        <v>-0.004837259999476373</v>
      </c>
      <c r="O32">
        <f t="shared" si="2"/>
        <v>-0.005029974845762095</v>
      </c>
      <c r="Q32" s="2">
        <f t="shared" si="3"/>
        <v>39952.979</v>
      </c>
    </row>
    <row r="33" spans="1:17" ht="12.75">
      <c r="A33" s="38" t="s">
        <v>44</v>
      </c>
      <c r="B33" s="39" t="s">
        <v>31</v>
      </c>
      <c r="C33" s="38">
        <v>55321.7816</v>
      </c>
      <c r="D33" s="38">
        <v>0.0004</v>
      </c>
      <c r="E33" s="13">
        <f t="shared" si="0"/>
        <v>5466.485317819172</v>
      </c>
      <c r="F33">
        <f t="shared" si="1"/>
        <v>5466.5</v>
      </c>
      <c r="G33" s="10">
        <f t="shared" si="4"/>
        <v>-0.00671878999855835</v>
      </c>
      <c r="H33" s="10"/>
      <c r="J33" s="10">
        <f>+G33</f>
        <v>-0.00671878999855835</v>
      </c>
      <c r="O33">
        <f t="shared" si="2"/>
        <v>-0.005765596809243867</v>
      </c>
      <c r="Q33" s="2">
        <f t="shared" si="3"/>
        <v>40303.2816</v>
      </c>
    </row>
    <row r="34" spans="1:17" ht="12.75">
      <c r="A34" s="38" t="s">
        <v>48</v>
      </c>
      <c r="B34" s="39" t="s">
        <v>31</v>
      </c>
      <c r="C34" s="38">
        <v>55726.7723</v>
      </c>
      <c r="D34" s="38">
        <v>0.0012</v>
      </c>
      <c r="E34" s="13">
        <f t="shared" si="0"/>
        <v>6351.487928964602</v>
      </c>
      <c r="F34">
        <f t="shared" si="1"/>
        <v>6351.5</v>
      </c>
      <c r="G34" s="10">
        <f t="shared" si="4"/>
        <v>-0.005523890002223197</v>
      </c>
      <c r="H34" s="10"/>
      <c r="J34" s="10">
        <f>+G34</f>
        <v>-0.005523890002223197</v>
      </c>
      <c r="O34">
        <f t="shared" si="2"/>
        <v>-0.006616054598507574</v>
      </c>
      <c r="Q34" s="2">
        <f t="shared" si="3"/>
        <v>40708.2723</v>
      </c>
    </row>
    <row r="35" spans="1:17" ht="12.75">
      <c r="A35" s="40" t="s">
        <v>49</v>
      </c>
      <c r="B35" s="41" t="s">
        <v>31</v>
      </c>
      <c r="C35" s="42">
        <v>56045.49861</v>
      </c>
      <c r="D35" s="42">
        <v>0.0004</v>
      </c>
      <c r="E35" s="13">
        <f t="shared" si="0"/>
        <v>7047.981988188077</v>
      </c>
      <c r="F35">
        <f t="shared" si="1"/>
        <v>7048</v>
      </c>
      <c r="G35" s="10">
        <f t="shared" si="4"/>
        <v>-0.008242479998443741</v>
      </c>
      <c r="H35" s="10"/>
      <c r="K35" s="10">
        <f aca="true" t="shared" si="5" ref="K35:K42">+G35</f>
        <v>-0.008242479998443741</v>
      </c>
      <c r="O35">
        <f t="shared" si="2"/>
        <v>-0.007285369683504379</v>
      </c>
      <c r="Q35" s="2">
        <f t="shared" si="3"/>
        <v>41026.99861</v>
      </c>
    </row>
    <row r="36" spans="1:17" ht="12.75">
      <c r="A36" s="40" t="s">
        <v>49</v>
      </c>
      <c r="B36" s="41" t="s">
        <v>31</v>
      </c>
      <c r="C36" s="42">
        <v>56045.49891</v>
      </c>
      <c r="D36" s="42">
        <v>0.0004</v>
      </c>
      <c r="E36" s="13">
        <f t="shared" si="0"/>
        <v>7047.98264376062</v>
      </c>
      <c r="F36">
        <f t="shared" si="1"/>
        <v>7048</v>
      </c>
      <c r="G36" s="10">
        <f t="shared" si="4"/>
        <v>-0.007942479998746421</v>
      </c>
      <c r="H36" s="10"/>
      <c r="K36" s="10">
        <f t="shared" si="5"/>
        <v>-0.007942479998746421</v>
      </c>
      <c r="O36">
        <f t="shared" si="2"/>
        <v>-0.007285369683504379</v>
      </c>
      <c r="Q36" s="2">
        <f t="shared" si="3"/>
        <v>41026.99891</v>
      </c>
    </row>
    <row r="37" spans="1:17" ht="12.75">
      <c r="A37" s="40" t="s">
        <v>49</v>
      </c>
      <c r="B37" s="41" t="s">
        <v>31</v>
      </c>
      <c r="C37" s="42">
        <v>56045.50061</v>
      </c>
      <c r="D37" s="42">
        <v>0.0003</v>
      </c>
      <c r="E37" s="13">
        <f t="shared" si="0"/>
        <v>7047.986358671702</v>
      </c>
      <c r="F37">
        <f t="shared" si="1"/>
        <v>7048</v>
      </c>
      <c r="G37" s="10">
        <f t="shared" si="4"/>
        <v>-0.006242479998036288</v>
      </c>
      <c r="H37" s="10"/>
      <c r="K37" s="10">
        <f t="shared" si="5"/>
        <v>-0.006242479998036288</v>
      </c>
      <c r="O37">
        <f t="shared" si="2"/>
        <v>-0.007285369683504379</v>
      </c>
      <c r="Q37" s="2">
        <f t="shared" si="3"/>
        <v>41027.00061</v>
      </c>
    </row>
    <row r="38" spans="1:17" ht="12.75">
      <c r="A38" s="40" t="s">
        <v>49</v>
      </c>
      <c r="B38" s="41" t="s">
        <v>28</v>
      </c>
      <c r="C38" s="42">
        <v>56047.56082</v>
      </c>
      <c r="D38" s="42">
        <v>0.0002</v>
      </c>
      <c r="E38" s="13">
        <f t="shared" si="0"/>
        <v>7052.4884157053675</v>
      </c>
      <c r="F38">
        <f t="shared" si="1"/>
        <v>7052.5</v>
      </c>
      <c r="G38" s="10">
        <f t="shared" si="4"/>
        <v>-0.005301149998558685</v>
      </c>
      <c r="H38" s="10"/>
      <c r="K38" s="10">
        <f t="shared" si="5"/>
        <v>-0.005301149998558685</v>
      </c>
      <c r="O38">
        <f t="shared" si="2"/>
        <v>-0.007289694045144702</v>
      </c>
      <c r="Q38" s="2">
        <f t="shared" si="3"/>
        <v>41029.06082</v>
      </c>
    </row>
    <row r="39" spans="1:17" ht="12.75">
      <c r="A39" s="40" t="s">
        <v>49</v>
      </c>
      <c r="B39" s="41" t="s">
        <v>28</v>
      </c>
      <c r="C39" s="42">
        <v>56048.47565</v>
      </c>
      <c r="D39" s="42">
        <v>0.0001</v>
      </c>
      <c r="E39" s="13">
        <f t="shared" si="0"/>
        <v>7054.487540472321</v>
      </c>
      <c r="F39">
        <f t="shared" si="1"/>
        <v>7054.5</v>
      </c>
      <c r="G39" s="10">
        <f t="shared" si="4"/>
        <v>-0.005701670001144521</v>
      </c>
      <c r="H39" s="10"/>
      <c r="K39" s="10">
        <f t="shared" si="5"/>
        <v>-0.005701670001144521</v>
      </c>
      <c r="O39">
        <f t="shared" si="2"/>
        <v>-0.007291615983651513</v>
      </c>
      <c r="Q39" s="2">
        <f t="shared" si="3"/>
        <v>41029.97565</v>
      </c>
    </row>
    <row r="40" spans="1:17" ht="12.75">
      <c r="A40" s="40" t="s">
        <v>49</v>
      </c>
      <c r="B40" s="41" t="s">
        <v>31</v>
      </c>
      <c r="C40" s="42">
        <v>56073.41254</v>
      </c>
      <c r="D40" s="42">
        <v>0.0005</v>
      </c>
      <c r="E40" s="13">
        <f t="shared" si="0"/>
        <v>7108.980675163671</v>
      </c>
      <c r="F40">
        <f t="shared" si="1"/>
        <v>7109</v>
      </c>
      <c r="G40" s="10">
        <f t="shared" si="4"/>
        <v>-0.008843340001476463</v>
      </c>
      <c r="H40" s="10"/>
      <c r="K40" s="10">
        <f t="shared" si="5"/>
        <v>-0.008843340001476463</v>
      </c>
      <c r="O40">
        <f t="shared" si="2"/>
        <v>-0.007343988807962103</v>
      </c>
      <c r="Q40" s="2">
        <f t="shared" si="3"/>
        <v>41054.91254</v>
      </c>
    </row>
    <row r="41" spans="1:17" ht="12.75">
      <c r="A41" s="40" t="s">
        <v>49</v>
      </c>
      <c r="B41" s="41" t="s">
        <v>31</v>
      </c>
      <c r="C41" s="42">
        <v>56105.44559</v>
      </c>
      <c r="D41" s="42">
        <v>0.0008</v>
      </c>
      <c r="E41" s="13">
        <f t="shared" si="0"/>
        <v>7178.980635392281</v>
      </c>
      <c r="F41">
        <f t="shared" si="1"/>
        <v>7179</v>
      </c>
      <c r="G41" s="10">
        <f t="shared" si="4"/>
        <v>-0.00886153999454109</v>
      </c>
      <c r="H41" s="10"/>
      <c r="K41" s="10">
        <f t="shared" si="5"/>
        <v>-0.00886153999454109</v>
      </c>
      <c r="O41">
        <f t="shared" si="2"/>
        <v>-0.007411256655700475</v>
      </c>
      <c r="Q41" s="2">
        <f t="shared" si="3"/>
        <v>41086.94559</v>
      </c>
    </row>
    <row r="42" spans="1:17" ht="12.75">
      <c r="A42" s="40" t="s">
        <v>49</v>
      </c>
      <c r="B42" s="41" t="s">
        <v>31</v>
      </c>
      <c r="C42" s="42">
        <v>56121.46398</v>
      </c>
      <c r="D42" s="42">
        <v>0.0001</v>
      </c>
      <c r="E42" s="13">
        <f t="shared" si="0"/>
        <v>7213.984690982556</v>
      </c>
      <c r="F42">
        <f t="shared" si="1"/>
        <v>7214</v>
      </c>
      <c r="G42" s="10">
        <f t="shared" si="4"/>
        <v>-0.007005639999988489</v>
      </c>
      <c r="H42" s="10"/>
      <c r="K42" s="10">
        <f t="shared" si="5"/>
        <v>-0.007005639999988489</v>
      </c>
      <c r="O42">
        <f t="shared" si="2"/>
        <v>-0.007444890579569661</v>
      </c>
      <c r="Q42" s="2">
        <f t="shared" si="3"/>
        <v>41102.96398</v>
      </c>
    </row>
    <row r="43" spans="1:17" ht="12.75">
      <c r="A43" t="s">
        <v>147</v>
      </c>
      <c r="B43" t="s">
        <v>31</v>
      </c>
      <c r="C43" s="11">
        <v>56125.124</v>
      </c>
      <c r="D43" s="11"/>
      <c r="E43" s="13">
        <f t="shared" si="0"/>
        <v>7221.982719719628</v>
      </c>
      <c r="F43">
        <f t="shared" si="1"/>
        <v>7222</v>
      </c>
      <c r="G43" s="10">
        <f t="shared" si="4"/>
        <v>-0.007907719998911489</v>
      </c>
      <c r="H43" s="10"/>
      <c r="M43" s="10">
        <f>+G43</f>
        <v>-0.007907719998911489</v>
      </c>
      <c r="O43">
        <f t="shared" si="2"/>
        <v>-0.007452578333596904</v>
      </c>
      <c r="Q43" s="2">
        <f t="shared" si="3"/>
        <v>41106.624</v>
      </c>
    </row>
    <row r="44" spans="1:17" ht="12.75">
      <c r="A44" s="40" t="s">
        <v>49</v>
      </c>
      <c r="B44" s="41" t="s">
        <v>31</v>
      </c>
      <c r="C44" s="42">
        <v>56127.41231</v>
      </c>
      <c r="D44" s="42">
        <v>0.0002</v>
      </c>
      <c r="E44" s="13">
        <f t="shared" si="0"/>
        <v>7226.983230410631</v>
      </c>
      <c r="F44">
        <f t="shared" si="1"/>
        <v>7227</v>
      </c>
      <c r="G44" s="10">
        <f t="shared" si="4"/>
        <v>-0.007674020002014004</v>
      </c>
      <c r="H44" s="10"/>
      <c r="K44" s="10">
        <f>+G44</f>
        <v>-0.007674020002014004</v>
      </c>
      <c r="O44">
        <f t="shared" si="2"/>
        <v>-0.007457383179863931</v>
      </c>
      <c r="Q44" s="2">
        <f t="shared" si="3"/>
        <v>41108.91231</v>
      </c>
    </row>
    <row r="45" spans="1:21" ht="12.75">
      <c r="A45" s="43" t="s">
        <v>52</v>
      </c>
      <c r="C45" s="11">
        <v>57531.8401</v>
      </c>
      <c r="D45" s="11">
        <v>0.0002</v>
      </c>
      <c r="E45" s="13">
        <f t="shared" si="0"/>
        <v>10295.99755917231</v>
      </c>
      <c r="F45">
        <f t="shared" si="1"/>
        <v>10296</v>
      </c>
      <c r="G45" s="10"/>
      <c r="H45" s="10"/>
      <c r="L45" s="10"/>
      <c r="O45">
        <f t="shared" si="2"/>
        <v>-0.010406597818564853</v>
      </c>
      <c r="Q45" s="2">
        <f t="shared" si="3"/>
        <v>42513.3401</v>
      </c>
      <c r="U45" s="10">
        <f>+C45-(C$7+F45*C$8)</f>
        <v>-0.0011169599965796806</v>
      </c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6"/>
  <sheetViews>
    <sheetView zoomScalePageLayoutView="0" workbookViewId="0" topLeftCell="A6">
      <selection activeCell="A27" sqref="A27:C28"/>
    </sheetView>
  </sheetViews>
  <sheetFormatPr defaultColWidth="9.140625" defaultRowHeight="12.75"/>
  <cols>
    <col min="1" max="1" width="19.7109375" style="11" customWidth="1"/>
    <col min="2" max="2" width="4.421875" style="19" customWidth="1"/>
    <col min="3" max="3" width="12.7109375" style="11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1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4" t="s">
        <v>54</v>
      </c>
      <c r="I1" s="45" t="s">
        <v>55</v>
      </c>
      <c r="J1" s="46" t="s">
        <v>56</v>
      </c>
    </row>
    <row r="2" spans="9:10" ht="12.75">
      <c r="I2" s="47" t="s">
        <v>57</v>
      </c>
      <c r="J2" s="48" t="s">
        <v>58</v>
      </c>
    </row>
    <row r="3" spans="1:10" ht="12.75">
      <c r="A3" s="49" t="s">
        <v>59</v>
      </c>
      <c r="I3" s="47" t="s">
        <v>60</v>
      </c>
      <c r="J3" s="48" t="s">
        <v>61</v>
      </c>
    </row>
    <row r="4" spans="9:10" ht="12.75">
      <c r="I4" s="47" t="s">
        <v>62</v>
      </c>
      <c r="J4" s="48" t="s">
        <v>61</v>
      </c>
    </row>
    <row r="5" spans="9:10" ht="13.5" thickBot="1">
      <c r="I5" s="50" t="s">
        <v>63</v>
      </c>
      <c r="J5" s="51" t="s">
        <v>64</v>
      </c>
    </row>
    <row r="10" ht="13.5" thickBot="1"/>
    <row r="11" spans="1:16" ht="12.75" customHeight="1" thickBot="1">
      <c r="A11" s="11" t="str">
        <f aca="true" t="shared" si="0" ref="A11:A28">P11</f>
        <v>IBVS 5592 </v>
      </c>
      <c r="B11" s="3" t="str">
        <f aca="true" t="shared" si="1" ref="B11:B28">IF(H11=INT(H11),"I","II")</f>
        <v>I</v>
      </c>
      <c r="C11" s="11">
        <f aca="true" t="shared" si="2" ref="C11:C28">1*G11</f>
        <v>52820.2345</v>
      </c>
      <c r="D11" s="19" t="str">
        <f aca="true" t="shared" si="3" ref="D11:D28">VLOOKUP(F11,I$1:J$5,2,FALSE)</f>
        <v>vis</v>
      </c>
      <c r="E11" s="52">
        <f>VLOOKUP(C11,A!C$21:E$973,3,FALSE)</f>
        <v>0</v>
      </c>
      <c r="F11" s="3" t="s">
        <v>63</v>
      </c>
      <c r="G11" s="19" t="str">
        <f aca="true" t="shared" si="4" ref="G11:G28">MID(I11,3,LEN(I11)-3)</f>
        <v>52820.2345</v>
      </c>
      <c r="H11" s="11">
        <f aca="true" t="shared" si="5" ref="H11:H28">1*K11</f>
        <v>699</v>
      </c>
      <c r="I11" s="53" t="s">
        <v>65</v>
      </c>
      <c r="J11" s="54" t="s">
        <v>66</v>
      </c>
      <c r="K11" s="53">
        <v>699</v>
      </c>
      <c r="L11" s="53" t="s">
        <v>67</v>
      </c>
      <c r="M11" s="54" t="s">
        <v>68</v>
      </c>
      <c r="N11" s="54" t="s">
        <v>69</v>
      </c>
      <c r="O11" s="55" t="s">
        <v>70</v>
      </c>
      <c r="P11" s="56" t="s">
        <v>71</v>
      </c>
    </row>
    <row r="12" spans="1:16" ht="12.75" customHeight="1" thickBot="1">
      <c r="A12" s="11" t="str">
        <f t="shared" si="0"/>
        <v>BAVM 186 </v>
      </c>
      <c r="B12" s="3" t="str">
        <f t="shared" si="1"/>
        <v>I</v>
      </c>
      <c r="C12" s="11">
        <f t="shared" si="2"/>
        <v>53503.4509</v>
      </c>
      <c r="D12" s="19" t="str">
        <f t="shared" si="3"/>
        <v>vis</v>
      </c>
      <c r="E12" s="52">
        <f>VLOOKUP(C12,A!C$21:E$973,3,FALSE)</f>
        <v>1492.993043981979</v>
      </c>
      <c r="F12" s="3" t="s">
        <v>63</v>
      </c>
      <c r="G12" s="19" t="str">
        <f t="shared" si="4"/>
        <v>53503.4509</v>
      </c>
      <c r="H12" s="11">
        <f t="shared" si="5"/>
        <v>2192</v>
      </c>
      <c r="I12" s="53" t="s">
        <v>72</v>
      </c>
      <c r="J12" s="54" t="s">
        <v>73</v>
      </c>
      <c r="K12" s="53">
        <v>2192</v>
      </c>
      <c r="L12" s="53" t="s">
        <v>74</v>
      </c>
      <c r="M12" s="54" t="s">
        <v>68</v>
      </c>
      <c r="N12" s="54" t="s">
        <v>75</v>
      </c>
      <c r="O12" s="55" t="s">
        <v>76</v>
      </c>
      <c r="P12" s="56" t="s">
        <v>77</v>
      </c>
    </row>
    <row r="13" spans="1:16" ht="12.75" customHeight="1" thickBot="1">
      <c r="A13" s="11" t="str">
        <f t="shared" si="0"/>
        <v>BAVM 186 </v>
      </c>
      <c r="B13" s="3" t="str">
        <f t="shared" si="1"/>
        <v>II</v>
      </c>
      <c r="C13" s="11">
        <f t="shared" si="2"/>
        <v>54219.3874</v>
      </c>
      <c r="D13" s="19" t="str">
        <f t="shared" si="3"/>
        <v>vis</v>
      </c>
      <c r="E13" s="52">
        <f>VLOOKUP(C13,A!C$21:E$973,3,FALSE)</f>
        <v>3057.487418579531</v>
      </c>
      <c r="F13" s="3" t="s">
        <v>63</v>
      </c>
      <c r="G13" s="19" t="str">
        <f t="shared" si="4"/>
        <v>54219.3874</v>
      </c>
      <c r="H13" s="11">
        <f t="shared" si="5"/>
        <v>3756.5</v>
      </c>
      <c r="I13" s="53" t="s">
        <v>78</v>
      </c>
      <c r="J13" s="54" t="s">
        <v>79</v>
      </c>
      <c r="K13" s="53" t="s">
        <v>80</v>
      </c>
      <c r="L13" s="53" t="s">
        <v>81</v>
      </c>
      <c r="M13" s="54" t="s">
        <v>68</v>
      </c>
      <c r="N13" s="54" t="s">
        <v>75</v>
      </c>
      <c r="O13" s="55" t="s">
        <v>76</v>
      </c>
      <c r="P13" s="56" t="s">
        <v>77</v>
      </c>
    </row>
    <row r="14" spans="1:16" ht="12.75" customHeight="1" thickBot="1">
      <c r="A14" s="11" t="str">
        <f t="shared" si="0"/>
        <v>BAVM 186 </v>
      </c>
      <c r="B14" s="3" t="str">
        <f t="shared" si="1"/>
        <v>II</v>
      </c>
      <c r="C14" s="11">
        <f t="shared" si="2"/>
        <v>54239.5251</v>
      </c>
      <c r="D14" s="19" t="str">
        <f t="shared" si="3"/>
        <v>vis</v>
      </c>
      <c r="E14" s="52">
        <f>VLOOKUP(C14,A!C$21:E$973,3,FALSE)</f>
        <v>3101.493162618747</v>
      </c>
      <c r="F14" s="3" t="s">
        <v>63</v>
      </c>
      <c r="G14" s="19" t="str">
        <f t="shared" si="4"/>
        <v>54239.5251</v>
      </c>
      <c r="H14" s="11">
        <f t="shared" si="5"/>
        <v>3800.5</v>
      </c>
      <c r="I14" s="53" t="s">
        <v>82</v>
      </c>
      <c r="J14" s="54" t="s">
        <v>83</v>
      </c>
      <c r="K14" s="53" t="s">
        <v>84</v>
      </c>
      <c r="L14" s="53" t="s">
        <v>85</v>
      </c>
      <c r="M14" s="54" t="s">
        <v>68</v>
      </c>
      <c r="N14" s="54" t="s">
        <v>75</v>
      </c>
      <c r="O14" s="55" t="s">
        <v>76</v>
      </c>
      <c r="P14" s="56" t="s">
        <v>77</v>
      </c>
    </row>
    <row r="15" spans="1:16" ht="12.75" customHeight="1" thickBot="1">
      <c r="A15" s="11" t="str">
        <f t="shared" si="0"/>
        <v>BAVM 209 </v>
      </c>
      <c r="B15" s="3" t="str">
        <f t="shared" si="1"/>
        <v>I</v>
      </c>
      <c r="C15" s="11">
        <f t="shared" si="2"/>
        <v>54971.479</v>
      </c>
      <c r="D15" s="19" t="str">
        <f t="shared" si="3"/>
        <v>vis</v>
      </c>
      <c r="E15" s="52">
        <f>VLOOKUP(C15,A!C$21:E$973,3,FALSE)</f>
        <v>4700.989429417194</v>
      </c>
      <c r="F15" s="3" t="s">
        <v>63</v>
      </c>
      <c r="G15" s="19" t="str">
        <f t="shared" si="4"/>
        <v>54971.4790</v>
      </c>
      <c r="H15" s="11">
        <f t="shared" si="5"/>
        <v>5400</v>
      </c>
      <c r="I15" s="53" t="s">
        <v>92</v>
      </c>
      <c r="J15" s="54" t="s">
        <v>93</v>
      </c>
      <c r="K15" s="53" t="s">
        <v>94</v>
      </c>
      <c r="L15" s="53" t="s">
        <v>95</v>
      </c>
      <c r="M15" s="54" t="s">
        <v>68</v>
      </c>
      <c r="N15" s="54" t="s">
        <v>75</v>
      </c>
      <c r="O15" s="55" t="s">
        <v>76</v>
      </c>
      <c r="P15" s="56" t="s">
        <v>96</v>
      </c>
    </row>
    <row r="16" spans="1:16" ht="12.75" customHeight="1" thickBot="1">
      <c r="A16" s="11" t="str">
        <f t="shared" si="0"/>
        <v>IBVS 5945 </v>
      </c>
      <c r="B16" s="3" t="str">
        <f t="shared" si="1"/>
        <v>II</v>
      </c>
      <c r="C16" s="11">
        <f t="shared" si="2"/>
        <v>55321.7816</v>
      </c>
      <c r="D16" s="19" t="str">
        <f t="shared" si="3"/>
        <v>vis</v>
      </c>
      <c r="E16" s="52">
        <f>VLOOKUP(C16,A!C$21:E$973,3,FALSE)</f>
        <v>5466.485317819172</v>
      </c>
      <c r="F16" s="3" t="s">
        <v>63</v>
      </c>
      <c r="G16" s="19" t="str">
        <f t="shared" si="4"/>
        <v>55321.7816</v>
      </c>
      <c r="H16" s="11">
        <f t="shared" si="5"/>
        <v>6165.5</v>
      </c>
      <c r="I16" s="53" t="s">
        <v>97</v>
      </c>
      <c r="J16" s="54" t="s">
        <v>98</v>
      </c>
      <c r="K16" s="53" t="s">
        <v>99</v>
      </c>
      <c r="L16" s="53" t="s">
        <v>100</v>
      </c>
      <c r="M16" s="54" t="s">
        <v>68</v>
      </c>
      <c r="N16" s="54" t="s">
        <v>63</v>
      </c>
      <c r="O16" s="55" t="s">
        <v>101</v>
      </c>
      <c r="P16" s="56" t="s">
        <v>102</v>
      </c>
    </row>
    <row r="17" spans="1:16" ht="12.75" customHeight="1" thickBot="1">
      <c r="A17" s="11" t="str">
        <f t="shared" si="0"/>
        <v>IBVS 5992 </v>
      </c>
      <c r="B17" s="3" t="str">
        <f t="shared" si="1"/>
        <v>II</v>
      </c>
      <c r="C17" s="11">
        <f t="shared" si="2"/>
        <v>55726.7723</v>
      </c>
      <c r="D17" s="19" t="str">
        <f t="shared" si="3"/>
        <v>vis</v>
      </c>
      <c r="E17" s="52">
        <f>VLOOKUP(C17,A!C$21:E$973,3,FALSE)</f>
        <v>6351.487928964602</v>
      </c>
      <c r="F17" s="3" t="s">
        <v>63</v>
      </c>
      <c r="G17" s="19" t="str">
        <f t="shared" si="4"/>
        <v>55726.7723</v>
      </c>
      <c r="H17" s="11">
        <f t="shared" si="5"/>
        <v>7050.5</v>
      </c>
      <c r="I17" s="53" t="s">
        <v>103</v>
      </c>
      <c r="J17" s="54" t="s">
        <v>104</v>
      </c>
      <c r="K17" s="53" t="s">
        <v>105</v>
      </c>
      <c r="L17" s="53" t="s">
        <v>106</v>
      </c>
      <c r="M17" s="54" t="s">
        <v>68</v>
      </c>
      <c r="N17" s="54" t="s">
        <v>63</v>
      </c>
      <c r="O17" s="55" t="s">
        <v>101</v>
      </c>
      <c r="P17" s="56" t="s">
        <v>107</v>
      </c>
    </row>
    <row r="18" spans="1:16" ht="12.75" customHeight="1" thickBot="1">
      <c r="A18" s="11" t="str">
        <f t="shared" si="0"/>
        <v>OEJV 0160 </v>
      </c>
      <c r="B18" s="3" t="str">
        <f t="shared" si="1"/>
        <v>I</v>
      </c>
      <c r="C18" s="11">
        <f t="shared" si="2"/>
        <v>56045.49861</v>
      </c>
      <c r="D18" s="19" t="str">
        <f t="shared" si="3"/>
        <v>vis</v>
      </c>
      <c r="E18" s="52">
        <f>VLOOKUP(C18,A!C$21:E$973,3,FALSE)</f>
        <v>7047.981988188077</v>
      </c>
      <c r="F18" s="3" t="s">
        <v>63</v>
      </c>
      <c r="G18" s="19" t="str">
        <f t="shared" si="4"/>
        <v>56045.49861</v>
      </c>
      <c r="H18" s="11">
        <f t="shared" si="5"/>
        <v>7747</v>
      </c>
      <c r="I18" s="53" t="s">
        <v>108</v>
      </c>
      <c r="J18" s="54" t="s">
        <v>109</v>
      </c>
      <c r="K18" s="53" t="s">
        <v>110</v>
      </c>
      <c r="L18" s="53" t="s">
        <v>111</v>
      </c>
      <c r="M18" s="54" t="s">
        <v>68</v>
      </c>
      <c r="N18" s="54" t="s">
        <v>31</v>
      </c>
      <c r="O18" s="55" t="s">
        <v>112</v>
      </c>
      <c r="P18" s="56" t="s">
        <v>113</v>
      </c>
    </row>
    <row r="19" spans="1:16" ht="12.75" customHeight="1" thickBot="1">
      <c r="A19" s="11" t="str">
        <f t="shared" si="0"/>
        <v>OEJV 0160 </v>
      </c>
      <c r="B19" s="3" t="str">
        <f t="shared" si="1"/>
        <v>I</v>
      </c>
      <c r="C19" s="11">
        <f t="shared" si="2"/>
        <v>56045.49891</v>
      </c>
      <c r="D19" s="19" t="str">
        <f t="shared" si="3"/>
        <v>vis</v>
      </c>
      <c r="E19" s="52">
        <f>VLOOKUP(C19,A!C$21:E$973,3,FALSE)</f>
        <v>7047.98264376062</v>
      </c>
      <c r="F19" s="3" t="s">
        <v>63</v>
      </c>
      <c r="G19" s="19" t="str">
        <f t="shared" si="4"/>
        <v>56045.49891</v>
      </c>
      <c r="H19" s="11">
        <f t="shared" si="5"/>
        <v>7747</v>
      </c>
      <c r="I19" s="53" t="s">
        <v>114</v>
      </c>
      <c r="J19" s="54" t="s">
        <v>115</v>
      </c>
      <c r="K19" s="53" t="s">
        <v>110</v>
      </c>
      <c r="L19" s="53" t="s">
        <v>116</v>
      </c>
      <c r="M19" s="54" t="s">
        <v>68</v>
      </c>
      <c r="N19" s="54" t="s">
        <v>63</v>
      </c>
      <c r="O19" s="55" t="s">
        <v>112</v>
      </c>
      <c r="P19" s="56" t="s">
        <v>113</v>
      </c>
    </row>
    <row r="20" spans="1:16" ht="12.75" customHeight="1" thickBot="1">
      <c r="A20" s="11" t="str">
        <f t="shared" si="0"/>
        <v>OEJV 0160 </v>
      </c>
      <c r="B20" s="3" t="str">
        <f t="shared" si="1"/>
        <v>I</v>
      </c>
      <c r="C20" s="11">
        <f t="shared" si="2"/>
        <v>56045.50061</v>
      </c>
      <c r="D20" s="19" t="str">
        <f t="shared" si="3"/>
        <v>vis</v>
      </c>
      <c r="E20" s="52">
        <f>VLOOKUP(C20,A!C$21:E$973,3,FALSE)</f>
        <v>7047.986358671702</v>
      </c>
      <c r="F20" s="3" t="s">
        <v>63</v>
      </c>
      <c r="G20" s="19" t="str">
        <f t="shared" si="4"/>
        <v>56045.50061</v>
      </c>
      <c r="H20" s="11">
        <f t="shared" si="5"/>
        <v>7747</v>
      </c>
      <c r="I20" s="53" t="s">
        <v>117</v>
      </c>
      <c r="J20" s="54" t="s">
        <v>118</v>
      </c>
      <c r="K20" s="53" t="s">
        <v>110</v>
      </c>
      <c r="L20" s="53" t="s">
        <v>119</v>
      </c>
      <c r="M20" s="54" t="s">
        <v>68</v>
      </c>
      <c r="N20" s="54" t="s">
        <v>120</v>
      </c>
      <c r="O20" s="55" t="s">
        <v>112</v>
      </c>
      <c r="P20" s="56" t="s">
        <v>113</v>
      </c>
    </row>
    <row r="21" spans="1:16" ht="12.75" customHeight="1" thickBot="1">
      <c r="A21" s="11" t="str">
        <f t="shared" si="0"/>
        <v>OEJV 0160 </v>
      </c>
      <c r="B21" s="3" t="str">
        <f t="shared" si="1"/>
        <v>II</v>
      </c>
      <c r="C21" s="11">
        <f t="shared" si="2"/>
        <v>56047.56082</v>
      </c>
      <c r="D21" s="19" t="str">
        <f t="shared" si="3"/>
        <v>vis</v>
      </c>
      <c r="E21" s="52">
        <f>VLOOKUP(C21,A!C$21:E$973,3,FALSE)</f>
        <v>7052.4884157053675</v>
      </c>
      <c r="F21" s="3" t="s">
        <v>63</v>
      </c>
      <c r="G21" s="19" t="str">
        <f t="shared" si="4"/>
        <v>56047.56082</v>
      </c>
      <c r="H21" s="11">
        <f t="shared" si="5"/>
        <v>7751.5</v>
      </c>
      <c r="I21" s="53" t="s">
        <v>121</v>
      </c>
      <c r="J21" s="54" t="s">
        <v>122</v>
      </c>
      <c r="K21" s="53" t="s">
        <v>123</v>
      </c>
      <c r="L21" s="53" t="s">
        <v>124</v>
      </c>
      <c r="M21" s="54" t="s">
        <v>68</v>
      </c>
      <c r="N21" s="54" t="s">
        <v>55</v>
      </c>
      <c r="O21" s="55" t="s">
        <v>112</v>
      </c>
      <c r="P21" s="56" t="s">
        <v>113</v>
      </c>
    </row>
    <row r="22" spans="1:16" ht="12.75" customHeight="1" thickBot="1">
      <c r="A22" s="11" t="str">
        <f t="shared" si="0"/>
        <v>OEJV 0160 </v>
      </c>
      <c r="B22" s="3" t="str">
        <f t="shared" si="1"/>
        <v>II</v>
      </c>
      <c r="C22" s="11">
        <f t="shared" si="2"/>
        <v>56048.47565</v>
      </c>
      <c r="D22" s="19" t="str">
        <f t="shared" si="3"/>
        <v>vis</v>
      </c>
      <c r="E22" s="52">
        <f>VLOOKUP(C22,A!C$21:E$973,3,FALSE)</f>
        <v>7054.487540472321</v>
      </c>
      <c r="F22" s="3" t="s">
        <v>63</v>
      </c>
      <c r="G22" s="19" t="str">
        <f t="shared" si="4"/>
        <v>56048.47565</v>
      </c>
      <c r="H22" s="11">
        <f t="shared" si="5"/>
        <v>7753.5</v>
      </c>
      <c r="I22" s="53" t="s">
        <v>125</v>
      </c>
      <c r="J22" s="54" t="s">
        <v>126</v>
      </c>
      <c r="K22" s="53" t="s">
        <v>127</v>
      </c>
      <c r="L22" s="53" t="s">
        <v>128</v>
      </c>
      <c r="M22" s="54" t="s">
        <v>68</v>
      </c>
      <c r="N22" s="54" t="s">
        <v>55</v>
      </c>
      <c r="O22" s="55" t="s">
        <v>112</v>
      </c>
      <c r="P22" s="56" t="s">
        <v>113</v>
      </c>
    </row>
    <row r="23" spans="1:16" ht="12.75" customHeight="1" thickBot="1">
      <c r="A23" s="11" t="str">
        <f t="shared" si="0"/>
        <v>OEJV 0160 </v>
      </c>
      <c r="B23" s="3" t="str">
        <f t="shared" si="1"/>
        <v>I</v>
      </c>
      <c r="C23" s="11">
        <f t="shared" si="2"/>
        <v>56073.41254</v>
      </c>
      <c r="D23" s="19" t="str">
        <f t="shared" si="3"/>
        <v>vis</v>
      </c>
      <c r="E23" s="52">
        <f>VLOOKUP(C23,A!C$21:E$973,3,FALSE)</f>
        <v>7108.980675163671</v>
      </c>
      <c r="F23" s="3" t="s">
        <v>63</v>
      </c>
      <c r="G23" s="19" t="str">
        <f t="shared" si="4"/>
        <v>56073.41254</v>
      </c>
      <c r="H23" s="11">
        <f t="shared" si="5"/>
        <v>7808</v>
      </c>
      <c r="I23" s="53" t="s">
        <v>129</v>
      </c>
      <c r="J23" s="54" t="s">
        <v>130</v>
      </c>
      <c r="K23" s="53" t="s">
        <v>131</v>
      </c>
      <c r="L23" s="53" t="s">
        <v>132</v>
      </c>
      <c r="M23" s="54" t="s">
        <v>68</v>
      </c>
      <c r="N23" s="54" t="s">
        <v>55</v>
      </c>
      <c r="O23" s="55" t="s">
        <v>112</v>
      </c>
      <c r="P23" s="56" t="s">
        <v>113</v>
      </c>
    </row>
    <row r="24" spans="1:16" ht="12.75" customHeight="1" thickBot="1">
      <c r="A24" s="11" t="str">
        <f t="shared" si="0"/>
        <v>OEJV 0160 </v>
      </c>
      <c r="B24" s="3" t="str">
        <f t="shared" si="1"/>
        <v>I</v>
      </c>
      <c r="C24" s="11">
        <f t="shared" si="2"/>
        <v>56105.44559</v>
      </c>
      <c r="D24" s="19" t="str">
        <f t="shared" si="3"/>
        <v>vis</v>
      </c>
      <c r="E24" s="52">
        <f>VLOOKUP(C24,A!C$21:E$973,3,FALSE)</f>
        <v>7178.980635392281</v>
      </c>
      <c r="F24" s="3" t="s">
        <v>63</v>
      </c>
      <c r="G24" s="19" t="str">
        <f t="shared" si="4"/>
        <v>56105.44559</v>
      </c>
      <c r="H24" s="11">
        <f t="shared" si="5"/>
        <v>7878</v>
      </c>
      <c r="I24" s="53" t="s">
        <v>133</v>
      </c>
      <c r="J24" s="54" t="s">
        <v>134</v>
      </c>
      <c r="K24" s="53" t="s">
        <v>135</v>
      </c>
      <c r="L24" s="53" t="s">
        <v>136</v>
      </c>
      <c r="M24" s="54" t="s">
        <v>68</v>
      </c>
      <c r="N24" s="54" t="s">
        <v>55</v>
      </c>
      <c r="O24" s="55" t="s">
        <v>112</v>
      </c>
      <c r="P24" s="56" t="s">
        <v>113</v>
      </c>
    </row>
    <row r="25" spans="1:16" ht="12.75" customHeight="1" thickBot="1">
      <c r="A25" s="11" t="str">
        <f t="shared" si="0"/>
        <v>OEJV 0160 </v>
      </c>
      <c r="B25" s="3" t="str">
        <f t="shared" si="1"/>
        <v>I</v>
      </c>
      <c r="C25" s="11">
        <f t="shared" si="2"/>
        <v>56121.46398</v>
      </c>
      <c r="D25" s="19" t="str">
        <f t="shared" si="3"/>
        <v>vis</v>
      </c>
      <c r="E25" s="52">
        <f>VLOOKUP(C25,A!C$21:E$973,3,FALSE)</f>
        <v>7213.984690982556</v>
      </c>
      <c r="F25" s="3" t="s">
        <v>63</v>
      </c>
      <c r="G25" s="19" t="str">
        <f t="shared" si="4"/>
        <v>56121.46398</v>
      </c>
      <c r="H25" s="11">
        <f t="shared" si="5"/>
        <v>7913</v>
      </c>
      <c r="I25" s="53" t="s">
        <v>137</v>
      </c>
      <c r="J25" s="54" t="s">
        <v>138</v>
      </c>
      <c r="K25" s="53" t="s">
        <v>139</v>
      </c>
      <c r="L25" s="53" t="s">
        <v>140</v>
      </c>
      <c r="M25" s="54" t="s">
        <v>68</v>
      </c>
      <c r="N25" s="54" t="s">
        <v>120</v>
      </c>
      <c r="O25" s="55" t="s">
        <v>112</v>
      </c>
      <c r="P25" s="56" t="s">
        <v>113</v>
      </c>
    </row>
    <row r="26" spans="1:16" ht="12.75" customHeight="1" thickBot="1">
      <c r="A26" s="11" t="str">
        <f t="shared" si="0"/>
        <v>OEJV 0160 </v>
      </c>
      <c r="B26" s="3" t="str">
        <f t="shared" si="1"/>
        <v>I</v>
      </c>
      <c r="C26" s="11">
        <f t="shared" si="2"/>
        <v>56127.41231</v>
      </c>
      <c r="D26" s="19" t="str">
        <f t="shared" si="3"/>
        <v>vis</v>
      </c>
      <c r="E26" s="52">
        <f>VLOOKUP(C26,A!C$21:E$973,3,FALSE)</f>
        <v>7226.983230410631</v>
      </c>
      <c r="F26" s="3" t="s">
        <v>63</v>
      </c>
      <c r="G26" s="19" t="str">
        <f t="shared" si="4"/>
        <v>56127.41231</v>
      </c>
      <c r="H26" s="11">
        <f t="shared" si="5"/>
        <v>7926</v>
      </c>
      <c r="I26" s="53" t="s">
        <v>148</v>
      </c>
      <c r="J26" s="54" t="s">
        <v>149</v>
      </c>
      <c r="K26" s="53" t="s">
        <v>150</v>
      </c>
      <c r="L26" s="53" t="s">
        <v>151</v>
      </c>
      <c r="M26" s="54" t="s">
        <v>68</v>
      </c>
      <c r="N26" s="54" t="s">
        <v>120</v>
      </c>
      <c r="O26" s="55" t="s">
        <v>112</v>
      </c>
      <c r="P26" s="56" t="s">
        <v>113</v>
      </c>
    </row>
    <row r="27" spans="1:16" ht="12.75" customHeight="1" thickBot="1">
      <c r="A27" s="11" t="str">
        <f t="shared" si="0"/>
        <v>VSB 48 </v>
      </c>
      <c r="B27" s="3" t="str">
        <f t="shared" si="1"/>
        <v>I</v>
      </c>
      <c r="C27" s="11">
        <f t="shared" si="2"/>
        <v>54630.1003</v>
      </c>
      <c r="D27" s="19" t="str">
        <f t="shared" si="3"/>
        <v>vis</v>
      </c>
      <c r="E27" s="52">
        <f>VLOOKUP(C27,A!C$21:E$973,3,FALSE)</f>
        <v>3954.99442042208</v>
      </c>
      <c r="F27" s="3" t="s">
        <v>63</v>
      </c>
      <c r="G27" s="19" t="str">
        <f t="shared" si="4"/>
        <v>54630.1003</v>
      </c>
      <c r="H27" s="11">
        <f t="shared" si="5"/>
        <v>4654</v>
      </c>
      <c r="I27" s="53" t="s">
        <v>86</v>
      </c>
      <c r="J27" s="54" t="s">
        <v>87</v>
      </c>
      <c r="K27" s="53" t="s">
        <v>88</v>
      </c>
      <c r="L27" s="53" t="s">
        <v>89</v>
      </c>
      <c r="M27" s="54" t="s">
        <v>68</v>
      </c>
      <c r="N27" s="54" t="s">
        <v>63</v>
      </c>
      <c r="O27" s="55" t="s">
        <v>90</v>
      </c>
      <c r="P27" s="56" t="s">
        <v>91</v>
      </c>
    </row>
    <row r="28" spans="1:16" ht="12.75" customHeight="1" thickBot="1">
      <c r="A28" s="11" t="str">
        <f t="shared" si="0"/>
        <v>VSB 55 </v>
      </c>
      <c r="B28" s="3" t="str">
        <f t="shared" si="1"/>
        <v>I</v>
      </c>
      <c r="C28" s="11">
        <f t="shared" si="2"/>
        <v>56125.124</v>
      </c>
      <c r="D28" s="19" t="str">
        <f t="shared" si="3"/>
        <v>vis</v>
      </c>
      <c r="E28" s="52">
        <f>VLOOKUP(C28,A!C$21:E$973,3,FALSE)</f>
        <v>7221.982719719628</v>
      </c>
      <c r="F28" s="3" t="s">
        <v>63</v>
      </c>
      <c r="G28" s="19" t="str">
        <f t="shared" si="4"/>
        <v>56125.1240</v>
      </c>
      <c r="H28" s="11">
        <f t="shared" si="5"/>
        <v>7921</v>
      </c>
      <c r="I28" s="53" t="s">
        <v>141</v>
      </c>
      <c r="J28" s="54" t="s">
        <v>142</v>
      </c>
      <c r="K28" s="53" t="s">
        <v>143</v>
      </c>
      <c r="L28" s="53" t="s">
        <v>144</v>
      </c>
      <c r="M28" s="54" t="s">
        <v>68</v>
      </c>
      <c r="N28" s="54" t="s">
        <v>145</v>
      </c>
      <c r="O28" s="55" t="s">
        <v>146</v>
      </c>
      <c r="P28" s="56" t="s">
        <v>147</v>
      </c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</sheetData>
  <sheetProtection/>
  <hyperlinks>
    <hyperlink ref="P11" r:id="rId1" display="http://www.konkoly.hu/cgi-bin/IBVS?5592"/>
    <hyperlink ref="P12" r:id="rId2" display="http://www.bav-astro.de/sfs/BAVM_link.php?BAVMnr=186"/>
    <hyperlink ref="P13" r:id="rId3" display="http://www.bav-astro.de/sfs/BAVM_link.php?BAVMnr=186"/>
    <hyperlink ref="P14" r:id="rId4" display="http://www.bav-astro.de/sfs/BAVM_link.php?BAVMnr=186"/>
    <hyperlink ref="P27" r:id="rId5" display="http://vsolj.cetus-net.org/no48.pdf"/>
    <hyperlink ref="P15" r:id="rId6" display="http://www.bav-astro.de/sfs/BAVM_link.php?BAVMnr=209"/>
    <hyperlink ref="P16" r:id="rId7" display="http://www.konkoly.hu/cgi-bin/IBVS?5945"/>
    <hyperlink ref="P17" r:id="rId8" display="http://www.konkoly.hu/cgi-bin/IBVS?5992"/>
    <hyperlink ref="P18" r:id="rId9" display="http://var.astro.cz/oejv/issues/oejv0160.pdf"/>
    <hyperlink ref="P19" r:id="rId10" display="http://var.astro.cz/oejv/issues/oejv0160.pdf"/>
    <hyperlink ref="P20" r:id="rId11" display="http://var.astro.cz/oejv/issues/oejv0160.pdf"/>
    <hyperlink ref="P21" r:id="rId12" display="http://var.astro.cz/oejv/issues/oejv0160.pdf"/>
    <hyperlink ref="P22" r:id="rId13" display="http://var.astro.cz/oejv/issues/oejv0160.pdf"/>
    <hyperlink ref="P23" r:id="rId14" display="http://var.astro.cz/oejv/issues/oejv0160.pdf"/>
    <hyperlink ref="P24" r:id="rId15" display="http://var.astro.cz/oejv/issues/oejv0160.pdf"/>
    <hyperlink ref="P25" r:id="rId16" display="http://var.astro.cz/oejv/issues/oejv0160.pdf"/>
    <hyperlink ref="P28" r:id="rId17" display="http://vsolj.cetus-net.org/vsoljno55.pdf"/>
    <hyperlink ref="P26" r:id="rId18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