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<sst xmlns="http://schemas.openxmlformats.org/spreadsheetml/2006/main" count="611" uniqueCount="328">
  <si>
    <t>FF Ori / GSC 00118-00718</t>
  </si>
  <si>
    <t>System Type:</t>
  </si>
  <si>
    <t>EA/SD:</t>
  </si>
  <si>
    <t>Red flare?  See IBVS 3925</t>
  </si>
  <si>
    <t>GCVS 4 Eph.</t>
  </si>
  <si>
    <t>My time zone &gt;&gt;&gt;&gt;&gt;</t>
  </si>
  <si>
    <t>(PST=8, PDT=MDT=7, MDT=CST=6, etc.)</t>
  </si>
  <si>
    <t>--- Working ----</t>
  </si>
  <si>
    <t>Epoch =</t>
  </si>
  <si>
    <t>Period =</t>
  </si>
  <si>
    <t>Start of linear fit &gt;&gt;&gt;&gt;&gt;&gt;&gt;&gt;&gt;&gt;&gt;&gt;&gt;&gt;&gt;&gt;&gt;&gt;&gt;&gt;&gt;</t>
  </si>
  <si>
    <t>Linear</t>
  </si>
  <si>
    <t>Quadratic</t>
  </si>
  <si>
    <t>LS Intercept =</t>
  </si>
  <si>
    <t>LS Slope =</t>
  </si>
  <si>
    <t>LS Quadr term =</t>
  </si>
  <si>
    <t>na</t>
  </si>
  <si>
    <t>New epoch =</t>
  </si>
  <si>
    <t>Add cycle</t>
  </si>
  <si>
    <t>New Period =</t>
  </si>
  <si>
    <t>JD today</t>
  </si>
  <si>
    <t># of data points:</t>
  </si>
  <si>
    <t>Old Cycle</t>
  </si>
  <si>
    <t>New Ephemeris =</t>
  </si>
  <si>
    <t>New Cycle</t>
  </si>
  <si>
    <t>Next ToM</t>
  </si>
  <si>
    <t>Source</t>
  </si>
  <si>
    <t>Typ</t>
  </si>
  <si>
    <t>ToM</t>
  </si>
  <si>
    <t>error</t>
  </si>
  <si>
    <t>n'</t>
  </si>
  <si>
    <t>n</t>
  </si>
  <si>
    <t>O-C</t>
  </si>
  <si>
    <t>pg</t>
  </si>
  <si>
    <t>vis</t>
  </si>
  <si>
    <t>PE</t>
  </si>
  <si>
    <t>CCD</t>
  </si>
  <si>
    <t>s5</t>
  </si>
  <si>
    <t>s6</t>
  </si>
  <si>
    <t>s7</t>
  </si>
  <si>
    <t>Lin Fit</t>
  </si>
  <si>
    <t>Q. Fit</t>
  </si>
  <si>
    <t>Date</t>
  </si>
  <si>
    <t>BAD?</t>
  </si>
  <si>
    <t>Schneller, 1938</t>
  </si>
  <si>
    <t> AA 27.156 </t>
  </si>
  <si>
    <t>I</t>
  </si>
  <si>
    <t>Whitney, 1948</t>
  </si>
  <si>
    <t> HA 113.75 </t>
  </si>
  <si>
    <t>GCVS 4</t>
  </si>
  <si>
    <t> AAC 5.77 </t>
  </si>
  <si>
    <t>IBVS 0046</t>
  </si>
  <si>
    <t>Kreiner, Mistecka, 1980</t>
  </si>
  <si>
    <t>BAV-M 39</t>
  </si>
  <si>
    <t>v</t>
  </si>
  <si>
    <t>K</t>
  </si>
  <si>
    <t>BBSAG Bull.87</t>
  </si>
  <si>
    <t>Peter H</t>
  </si>
  <si>
    <t>B</t>
  </si>
  <si>
    <t>BBSAG Bull.91</t>
  </si>
  <si>
    <t>BAV-M 52</t>
  </si>
  <si>
    <t>Danielkiewicz-Krosniak, 1990</t>
  </si>
  <si>
    <t>BBSAG Bull.94</t>
  </si>
  <si>
    <t>BBSAG Bull.97</t>
  </si>
  <si>
    <t>Blaettler E</t>
  </si>
  <si>
    <t>BBSAG Bull.100</t>
  </si>
  <si>
    <t>BAV-M 62</t>
  </si>
  <si>
    <t>phe</t>
  </si>
  <si>
    <t>BBSAG Bull.103</t>
  </si>
  <si>
    <t>Paschke A</t>
  </si>
  <si>
    <t>BBSAG Bull.106</t>
  </si>
  <si>
    <t>BBSAG Bull.108</t>
  </si>
  <si>
    <t>BBSAG Bull.114</t>
  </si>
  <si>
    <t>BBSAG Bull.117</t>
  </si>
  <si>
    <t>ccd</t>
  </si>
  <si>
    <t>Diethelm R</t>
  </si>
  <si>
    <t>IBVS 5502</t>
  </si>
  <si>
    <t>IBVS 5583</t>
  </si>
  <si>
    <t>IBVS 5672</t>
  </si>
  <si>
    <t>IBVS 5894</t>
  </si>
  <si>
    <t>IBVS 5920</t>
  </si>
  <si>
    <t>IBVS 5931</t>
  </si>
  <si>
    <t>IBVS 5960</t>
  </si>
  <si>
    <t>IBVS 3925</t>
  </si>
  <si>
    <t>IBVS 5874</t>
  </si>
  <si>
    <t>IBVS 5918</t>
  </si>
  <si>
    <t>.0022</t>
  </si>
  <si>
    <t>IBVS 5984</t>
  </si>
  <si>
    <t>JAVSO..42..426</t>
  </si>
  <si>
    <t>JAVSO..44…69</t>
  </si>
  <si>
    <t>OEJV 0074</t>
  </si>
  <si>
    <t>OEJV 0137</t>
  </si>
  <si>
    <t>VSB 47 </t>
  </si>
  <si>
    <t>VSB 48 </t>
  </si>
  <si>
    <t>VSB 56 </t>
  </si>
  <si>
    <t>OEJV 0211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</si>
  <si>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</si>
  <si>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</si>
  <si>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</si>
  <si>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</si>
  <si>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</si>
  <si>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</si>
  <si>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</si>
  <si>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2425890.40 </t>
  </si>
  <si>
    <t> 05.10.1929 21:36 </t>
  </si>
  <si>
    <t> 0.00 </t>
  </si>
  <si>
    <t>V </t>
  </si>
  <si>
    <t> K.Kordylewski </t>
  </si>
  <si>
    <t> SAC 9.93 </t>
  </si>
  <si>
    <t>2430693.727 </t>
  </si>
  <si>
    <t> 30.11.1942 05:26 </t>
  </si>
  <si>
    <t> 0.011 </t>
  </si>
  <si>
    <t>F </t>
  </si>
  <si>
    <t> B.S.Whitney </t>
  </si>
  <si>
    <t> AJ 53.14 </t>
  </si>
  <si>
    <t>2431497.600 </t>
  </si>
  <si>
    <t> 11.02.1945 02:24 </t>
  </si>
  <si>
    <t>2431772.793 </t>
  </si>
  <si>
    <t> 13.11.1945 07:01 </t>
  </si>
  <si>
    <t> 0.004 </t>
  </si>
  <si>
    <t>2432216.367 </t>
  </si>
  <si>
    <t> 30.01.1947 20:48 </t>
  </si>
  <si>
    <t> 0.000 </t>
  </si>
  <si>
    <t> SAC 19.75 </t>
  </si>
  <si>
    <t>2438446.39 </t>
  </si>
  <si>
    <t> 20.02.1964 21:21 </t>
  </si>
  <si>
    <t> 0.01 </t>
  </si>
  <si>
    <t>IBVS 46 </t>
  </si>
  <si>
    <t>2442833.289 </t>
  </si>
  <si>
    <t> 24.02.1976 18:56 </t>
  </si>
  <si>
    <t> 0.009 </t>
  </si>
  <si>
    <t> M.Winiarski </t>
  </si>
  <si>
    <t> AN 301.327 </t>
  </si>
  <si>
    <t>2446110.347 </t>
  </si>
  <si>
    <t> 13.02.1985 20:19 </t>
  </si>
  <si>
    <t> 0.019 </t>
  </si>
  <si>
    <t> H.Grzelczyk </t>
  </si>
  <si>
    <t>BAVM 39 </t>
  </si>
  <si>
    <t>2447209.345 </t>
  </si>
  <si>
    <t> 17.02.1988 20:16 </t>
  </si>
  <si>
    <t> 0.029 </t>
  </si>
  <si>
    <t> H.Peter </t>
  </si>
  <si>
    <t> BBS 87 </t>
  </si>
  <si>
    <t>2447553.328 </t>
  </si>
  <si>
    <t> 26.01.1989 19:52 </t>
  </si>
  <si>
    <t> 0.012 </t>
  </si>
  <si>
    <t> BBS 91 </t>
  </si>
  <si>
    <t>2447553.331 </t>
  </si>
  <si>
    <t> 26.01.1989 19:56 </t>
  </si>
  <si>
    <t> 0.015 </t>
  </si>
  <si>
    <t> Moschner&amp;Kleikamp </t>
  </si>
  <si>
    <t>BAVM 52 </t>
  </si>
  <si>
    <t>2447562.389 </t>
  </si>
  <si>
    <t> 04.02.1989 21:20 </t>
  </si>
  <si>
    <t> 0.021 </t>
  </si>
  <si>
    <t>2447924.472 </t>
  </si>
  <si>
    <t> 01.02.1990 23:19 </t>
  </si>
  <si>
    <t> -0.001 </t>
  </si>
  <si>
    <t> BBS 94 </t>
  </si>
  <si>
    <t>2448308.317 </t>
  </si>
  <si>
    <t> 20.02.1991 19:36 </t>
  </si>
  <si>
    <t> 0.013 </t>
  </si>
  <si>
    <t> E.Blättler </t>
  </si>
  <si>
    <t> BBS 97 </t>
  </si>
  <si>
    <t>2448652.330 </t>
  </si>
  <si>
    <t> 30.01.1992 19:55 </t>
  </si>
  <si>
    <t> 0.026 </t>
  </si>
  <si>
    <t> BBS 100 </t>
  </si>
  <si>
    <t>2448916.6576 </t>
  </si>
  <si>
    <t> 21.10.1992 03:46 </t>
  </si>
  <si>
    <t> 0.0172 </t>
  </si>
  <si>
    <t>E </t>
  </si>
  <si>
    <t>?</t>
  </si>
  <si>
    <t> M.Zakirov </t>
  </si>
  <si>
    <t>IBVS 3925 </t>
  </si>
  <si>
    <t>2449005.3723 </t>
  </si>
  <si>
    <t> 17.01.1993 20:56 </t>
  </si>
  <si>
    <t> 0.0162 </t>
  </si>
  <si>
    <t>o</t>
  </si>
  <si>
    <t> F.Agerer </t>
  </si>
  <si>
    <t>BAVM 62 </t>
  </si>
  <si>
    <t>2449005.380 </t>
  </si>
  <si>
    <t> 17.01.1993 21:07 </t>
  </si>
  <si>
    <t> 0.024 </t>
  </si>
  <si>
    <t> A.Paschke </t>
  </si>
  <si>
    <t> BBS 103 </t>
  </si>
  <si>
    <t>2449005.389 </t>
  </si>
  <si>
    <t> 17.01.1993 21:20 </t>
  </si>
  <si>
    <t> 0.033 </t>
  </si>
  <si>
    <t>2449416.371 </t>
  </si>
  <si>
    <t> 04.03.1994 20:54 </t>
  </si>
  <si>
    <t> BBS 106 </t>
  </si>
  <si>
    <t>2449789.334 </t>
  </si>
  <si>
    <t> 12.03.1995 20:00 </t>
  </si>
  <si>
    <t> BBS 108 </t>
  </si>
  <si>
    <t>2450486.382 </t>
  </si>
  <si>
    <t> 06.02.1997 21:10 </t>
  </si>
  <si>
    <t> 0.017 </t>
  </si>
  <si>
    <t> BBS 114 </t>
  </si>
  <si>
    <t>2450859.3486 </t>
  </si>
  <si>
    <t> 14.02.1998 20:21 </t>
  </si>
  <si>
    <t> 0.0160 </t>
  </si>
  <si>
    <t> R.Diethelm </t>
  </si>
  <si>
    <t> BBS 117 </t>
  </si>
  <si>
    <t>2450859.362 </t>
  </si>
  <si>
    <t> 14.02.1998 20:41 </t>
  </si>
  <si>
    <t>2452682.550 </t>
  </si>
  <si>
    <t> 12.02.2003 01:12 </t>
  </si>
  <si>
    <t> 0.020 </t>
  </si>
  <si>
    <t> S.Dvorak </t>
  </si>
  <si>
    <t>IBVS 5502 </t>
  </si>
  <si>
    <t>2453028.3631 </t>
  </si>
  <si>
    <t> 23.01.2004 20:42 </t>
  </si>
  <si>
    <t> 0.0227 </t>
  </si>
  <si>
    <t> M.Zejda </t>
  </si>
  <si>
    <t>IBVS 5583 </t>
  </si>
  <si>
    <t>2453417.6301 </t>
  </si>
  <si>
    <t> 16.02.2005 03:07 </t>
  </si>
  <si>
    <t> 0.0271 </t>
  </si>
  <si>
    <t> R.Nelson </t>
  </si>
  <si>
    <t>IBVS 5672 </t>
  </si>
  <si>
    <t>2453763.44284 </t>
  </si>
  <si>
    <t> 27.01.2006 22:37 </t>
  </si>
  <si>
    <t> 0.02972 </t>
  </si>
  <si>
    <t>C </t>
  </si>
  <si>
    <t> L.Šmelcer </t>
  </si>
  <si>
    <t>OEJV 0074 </t>
  </si>
  <si>
    <t>2454154.5213 </t>
  </si>
  <si>
    <t> 23.02.2007 00:30 </t>
  </si>
  <si>
    <t> 0.0350 </t>
  </si>
  <si>
    <t> P.Zasche (ESA INTEGRAL) </t>
  </si>
  <si>
    <t>IBVS 5931 </t>
  </si>
  <si>
    <t>2454330.1376 </t>
  </si>
  <si>
    <t> 17.08.2007 15:18 </t>
  </si>
  <si>
    <t> 0.0305 </t>
  </si>
  <si>
    <t>2454500.3287 </t>
  </si>
  <si>
    <t> 03.02.2008 19:53 </t>
  </si>
  <si>
    <t> 0.0323 </t>
  </si>
  <si>
    <t> F.Walter </t>
  </si>
  <si>
    <t>BAVM 201 </t>
  </si>
  <si>
    <t>2454507.5728 </t>
  </si>
  <si>
    <t> 11.02.2008 01:44 </t>
  </si>
  <si>
    <t> 0.0343 </t>
  </si>
  <si>
    <t>2454843.4298 </t>
  </si>
  <si>
    <t> 11.01.2009 22:18 </t>
  </si>
  <si>
    <t> 0.0391 </t>
  </si>
  <si>
    <t> P.Frank </t>
  </si>
  <si>
    <t>BAVM 209 </t>
  </si>
  <si>
    <t>2454860.623 </t>
  </si>
  <si>
    <t> 29.01.2009 02:57 </t>
  </si>
  <si>
    <t> 0.032 </t>
  </si>
  <si>
    <t>IBVS 5894 </t>
  </si>
  <si>
    <t>2455144.8754 </t>
  </si>
  <si>
    <t> 09.11.2009 09:00 </t>
  </si>
  <si>
    <t> 0.0325 </t>
  </si>
  <si>
    <t>IBVS 5920 </t>
  </si>
  <si>
    <t>2455472.5706 </t>
  </si>
  <si>
    <t> 03.10.2010 01:41 </t>
  </si>
  <si>
    <t> 0.0228 </t>
  </si>
  <si>
    <t> U.Schmidt </t>
  </si>
  <si>
    <t>BAVM 215 </t>
  </si>
  <si>
    <t>2455517.8463 </t>
  </si>
  <si>
    <t> 17.11.2010 08:18 </t>
  </si>
  <si>
    <t> 0.0354 </t>
  </si>
  <si>
    <t>IBVS 5960 </t>
  </si>
  <si>
    <t>2456694.6945 </t>
  </si>
  <si>
    <t> 06.02.2014 04:40 </t>
  </si>
  <si>
    <t> 0.0430 </t>
  </si>
  <si>
    <t> G.Frey </t>
  </si>
  <si>
    <t> JAAVSO 42;426 </t>
  </si>
  <si>
    <t>2426417.260 </t>
  </si>
  <si>
    <t> 16.03.1931 18:14 </t>
  </si>
  <si>
    <t> 0.001 </t>
  </si>
  <si>
    <t>2426426.309 </t>
  </si>
  <si>
    <t> 25.03.1931 19:24 </t>
  </si>
  <si>
    <t> -0.002 </t>
  </si>
  <si>
    <t>2427161.382 </t>
  </si>
  <si>
    <t> 29.03.1933 21:10 </t>
  </si>
  <si>
    <t> S.Piotrowski </t>
  </si>
  <si>
    <t>2427811.363 </t>
  </si>
  <si>
    <t> 08.01.1935 20:42 </t>
  </si>
  <si>
    <t>2428548.253 </t>
  </si>
  <si>
    <t> 14.01.1937 18:04 </t>
  </si>
  <si>
    <t> 0.008 </t>
  </si>
  <si>
    <t>2428812.592 </t>
  </si>
  <si>
    <t> 06.10.1937 02:12 </t>
  </si>
  <si>
    <t> 0.010 </t>
  </si>
  <si>
    <t>2430793.298 </t>
  </si>
  <si>
    <t> 09.03.1943 19:09 </t>
  </si>
  <si>
    <t> 0.003 </t>
  </si>
  <si>
    <t>2431075.720 </t>
  </si>
  <si>
    <t> 17.12.1943 05:16 </t>
  </si>
  <si>
    <t> -0.017 </t>
  </si>
  <si>
    <t> S.Gaposchkin </t>
  </si>
  <si>
    <t>2431146.350 </t>
  </si>
  <si>
    <t> 25.02.1944 20:24 </t>
  </si>
  <si>
    <t>2432609.242 </t>
  </si>
  <si>
    <t> 27.02.1948 17:48 </t>
  </si>
  <si>
    <t> -0.009 </t>
  </si>
  <si>
    <t> A.Szczepanowska </t>
  </si>
  <si>
    <t>2433688.314 </t>
  </si>
  <si>
    <t> 10.02.1951 19:32 </t>
  </si>
  <si>
    <t>2451158.083 </t>
  </si>
  <si>
    <t> 10.12.1998 13:59 </t>
  </si>
  <si>
    <t> 0.014 </t>
  </si>
  <si>
    <t> S.Kiyota </t>
  </si>
  <si>
    <t>2454503.9468 </t>
  </si>
  <si>
    <t> 07.02.2008 10:43 </t>
  </si>
  <si>
    <t> 0.0294 </t>
  </si>
  <si>
    <t>Ic</t>
  </si>
  <si>
    <t> K.Nakajima </t>
  </si>
  <si>
    <t>2455628.2897 </t>
  </si>
  <si>
    <t> 07.03.2011 18:57 </t>
  </si>
  <si>
    <t> 0.0369 </t>
  </si>
  <si>
    <t>R</t>
  </si>
  <si>
    <t>OEJV 0137 </t>
  </si>
  <si>
    <t>2455628.2912 </t>
  </si>
  <si>
    <t> 07.03.2011 18:59 </t>
  </si>
  <si>
    <t> 0.0384 </t>
  </si>
  <si>
    <t>2456299.9712 </t>
  </si>
  <si>
    <t> 07.01.2013 11:18 </t>
  </si>
  <si>
    <t> 0.0140 </t>
  </si>
  <si>
    <t> K.Nagai </t>
  </si>
  <si>
    <t>2456299.9875 </t>
  </si>
  <si>
    <t> 07.01.2013 11:42 </t>
  </si>
  <si>
    <t> 0.0303 </t>
  </si>
  <si>
    <t>2456299.9895 </t>
  </si>
  <si>
    <t> 07.01.2013 11:44 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</si>
</sst>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51">
    <font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9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Protection="0">
      <alignment vertical="top"/>
    </xf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2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0" fillId="0" borderId="0" xfId="0" applyAlignment="1">
      <alignment horizontal="center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165" fontId="7" fillId="0" borderId="0" xfId="0" applyNumberFormat="1" applyFont="1" applyAlignment="1">
      <alignment vertical="top"/>
    </xf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166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11" fillId="0" borderId="0" xfId="60" applyFont="1" applyAlignment="1">
      <alignment horizontal="left" vertical="center"/>
      <protection/>
    </xf>
    <xf numFmtId="0" fontId="11" fillId="0" borderId="0" xfId="60" applyFont="1" applyAlignment="1">
      <alignment horizontal="center" vertical="center"/>
      <protection/>
    </xf>
    <xf numFmtId="0" fontId="11" fillId="0" borderId="0" xfId="60" applyFont="1" applyAlignment="1">
      <alignment horizontal="left"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center"/>
      <protection/>
    </xf>
    <xf numFmtId="0" fontId="12" fillId="0" borderId="0" xfId="60" applyFont="1" applyAlignment="1">
      <alignment horizontal="left"/>
      <protection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vertical="top"/>
    </xf>
    <xf numFmtId="0" fontId="15" fillId="0" borderId="0" xfId="56" applyNumberFormat="1" applyFont="1" applyFill="1" applyBorder="1" applyAlignment="1" applyProtection="1">
      <alignment horizontal="left"/>
      <protection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vertical="top"/>
    </xf>
    <xf numFmtId="0" fontId="2" fillId="33" borderId="20" xfId="0" applyFont="1" applyFill="1" applyBorder="1" applyAlignment="1">
      <alignment horizontal="left" vertical="top" wrapText="1" inden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20" xfId="0" applyFont="1" applyFill="1" applyBorder="1" applyAlignment="1">
      <alignment horizontal="right" vertical="top" wrapText="1"/>
    </xf>
    <xf numFmtId="0" fontId="15" fillId="33" borderId="20" xfId="56" applyNumberFormat="1" applyFont="1" applyFill="1" applyBorder="1" applyAlignment="1" applyProtection="1">
      <alignment horizontal="right" vertical="top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FF Ori - O-C Diagr.</a:t>
            </a:r>
          </a:p>
        </c:rich>
      </c:tx>
      <c:layout>
        <c:manualLayout>
          <c:xMode val="factor"/>
          <c:yMode val="factor"/>
          <c:x val="-0.003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9325"/>
          <c:w val="0.89675"/>
          <c:h val="0.70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A!$F$21:$F$79</c:f>
              <c:numCache/>
            </c:numRef>
          </c:xVal>
          <c:yVal>
            <c:numRef>
              <c:f>A!$H$21:$H$79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A!$F$21:$F$79</c:f>
              <c:numCache/>
            </c:numRef>
          </c:xVal>
          <c:yVal>
            <c:numRef>
              <c:f>A!$I$21:$I$79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A!$F$21:$F$79</c:f>
              <c:numCache/>
            </c:numRef>
          </c:xVal>
          <c:yVal>
            <c:numRef>
              <c:f>A!$J$21:$J$79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A!$F$21:$F$79</c:f>
              <c:numCache/>
            </c:numRef>
          </c:xVal>
          <c:yVal>
            <c:numRef>
              <c:f>A!$K$21:$K$79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A!$F$21:$F$79</c:f>
              <c:numCache/>
            </c:numRef>
          </c:xVal>
          <c:yVal>
            <c:numRef>
              <c:f>A!$L$21:$L$79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A!$F$21:$F$79</c:f>
              <c:numCache/>
            </c:numRef>
          </c:xVal>
          <c:yVal>
            <c:numRef>
              <c:f>A!$M$21:$M$79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A!$F$21:$F$79</c:f>
              <c:numCache/>
            </c:numRef>
          </c:xVal>
          <c:yVal>
            <c:numRef>
              <c:f>A!$N$21:$N$79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A!$F$21:$F$79</c:f>
              <c:numCache/>
            </c:numRef>
          </c:xVal>
          <c:yVal>
            <c:numRef>
              <c:f>A!$O$21:$O$79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A!$F$21:$F$79</c:f>
              <c:numCache/>
            </c:numRef>
          </c:xVal>
          <c:yVal>
            <c:numRef>
              <c:f>A!$U$21:$U$79</c:f>
              <c:numCache/>
            </c:numRef>
          </c:yVal>
          <c:smooth val="0"/>
        </c:ser>
        <c:axId val="61002111"/>
        <c:axId val="12148088"/>
      </c:scatterChart>
      <c:valAx>
        <c:axId val="6100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48088"/>
        <c:crossesAt val="0"/>
        <c:crossBetween val="midCat"/>
        <c:dispUnits/>
      </c:valAx>
      <c:valAx>
        <c:axId val="12148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02111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975"/>
          <c:y val="0.919"/>
          <c:w val="0.8435"/>
          <c:h val="0.06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0</xdr:rowOff>
    </xdr:from>
    <xdr:to>
      <xdr:col>15</xdr:col>
      <xdr:colOff>333375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4914900" y="0"/>
        <a:ext cx="53816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6" TargetMode="External" /><Relationship Id="rId2" Type="http://schemas.openxmlformats.org/officeDocument/2006/relationships/hyperlink" Target="http://www.bav-astro.de/sfs/BAVM_link.php?BAVMnr=39" TargetMode="External" /><Relationship Id="rId3" Type="http://schemas.openxmlformats.org/officeDocument/2006/relationships/hyperlink" Target="http://www.bav-astro.de/sfs/BAVM_link.php?BAVMnr=52" TargetMode="External" /><Relationship Id="rId4" Type="http://schemas.openxmlformats.org/officeDocument/2006/relationships/hyperlink" Target="http://www.bav-astro.de/sfs/BAVM_link.php?BAVMnr=52" TargetMode="External" /><Relationship Id="rId5" Type="http://schemas.openxmlformats.org/officeDocument/2006/relationships/hyperlink" Target="http://www.konkoly.hu/cgi-bin/IBVS?3925" TargetMode="External" /><Relationship Id="rId6" Type="http://schemas.openxmlformats.org/officeDocument/2006/relationships/hyperlink" Target="http://www.bav-astro.de/sfs/BAVM_link.php?BAVMnr=62" TargetMode="External" /><Relationship Id="rId7" Type="http://schemas.openxmlformats.org/officeDocument/2006/relationships/hyperlink" Target="http://www.konkoly.hu/cgi-bin/IBVS?5502" TargetMode="External" /><Relationship Id="rId8" Type="http://schemas.openxmlformats.org/officeDocument/2006/relationships/hyperlink" Target="http://www.konkoly.hu/cgi-bin/IBVS?5583" TargetMode="External" /><Relationship Id="rId9" Type="http://schemas.openxmlformats.org/officeDocument/2006/relationships/hyperlink" Target="http://www.konkoly.hu/cgi-bin/IBVS?5672" TargetMode="External" /><Relationship Id="rId10" Type="http://schemas.openxmlformats.org/officeDocument/2006/relationships/hyperlink" Target="http://var.astro.cz/oejv/issues/oejv0074.pdf" TargetMode="External" /><Relationship Id="rId11" Type="http://schemas.openxmlformats.org/officeDocument/2006/relationships/hyperlink" Target="http://www.konkoly.hu/cgi-bin/IBVS?5931" TargetMode="External" /><Relationship Id="rId12" Type="http://schemas.openxmlformats.org/officeDocument/2006/relationships/hyperlink" Target="http://www.konkoly.hu/cgi-bin/IBVS?5931" TargetMode="External" /><Relationship Id="rId13" Type="http://schemas.openxmlformats.org/officeDocument/2006/relationships/hyperlink" Target="http://www.bav-astro.de/sfs/BAVM_link.php?BAVMnr=201" TargetMode="External" /><Relationship Id="rId14" Type="http://schemas.openxmlformats.org/officeDocument/2006/relationships/hyperlink" Target="http://www.konkoly.hu/cgi-bin/IBVS?5931" TargetMode="External" /><Relationship Id="rId15" Type="http://schemas.openxmlformats.org/officeDocument/2006/relationships/hyperlink" Target="http://www.bav-astro.de/sfs/BAVM_link.php?BAVMnr=209" TargetMode="External" /><Relationship Id="rId16" Type="http://schemas.openxmlformats.org/officeDocument/2006/relationships/hyperlink" Target="http://www.konkoly.hu/cgi-bin/IBVS?5894" TargetMode="External" /><Relationship Id="rId17" Type="http://schemas.openxmlformats.org/officeDocument/2006/relationships/hyperlink" Target="http://www.konkoly.hu/cgi-bin/IBVS?5920" TargetMode="External" /><Relationship Id="rId18" Type="http://schemas.openxmlformats.org/officeDocument/2006/relationships/hyperlink" Target="http://www.bav-astro.de/sfs/BAVM_link.php?BAVMnr=215" TargetMode="External" /><Relationship Id="rId19" Type="http://schemas.openxmlformats.org/officeDocument/2006/relationships/hyperlink" Target="http://www.konkoly.hu/cgi-bin/IBVS?5960" TargetMode="External" /><Relationship Id="rId20" Type="http://schemas.openxmlformats.org/officeDocument/2006/relationships/hyperlink" Target="http://vsolj.cetus-net.org/no47.pdf" TargetMode="External" /><Relationship Id="rId21" Type="http://schemas.openxmlformats.org/officeDocument/2006/relationships/hyperlink" Target="http://vsolj.cetus-net.org/no48.pdf" TargetMode="External" /><Relationship Id="rId22" Type="http://schemas.openxmlformats.org/officeDocument/2006/relationships/hyperlink" Target="http://var.astro.cz/oejv/issues/oejv0137.pdf" TargetMode="External" /><Relationship Id="rId23" Type="http://schemas.openxmlformats.org/officeDocument/2006/relationships/hyperlink" Target="http://var.astro.cz/oejv/issues/oejv0137.pdf" TargetMode="External" /><Relationship Id="rId24" Type="http://schemas.openxmlformats.org/officeDocument/2006/relationships/hyperlink" Target="http://vsolj.cetus-net.org/vsoljno56.pdf" TargetMode="External" /><Relationship Id="rId25" Type="http://schemas.openxmlformats.org/officeDocument/2006/relationships/hyperlink" Target="http://vsolj.cetus-net.org/vsoljno56.pdf" TargetMode="External" /><Relationship Id="rId26" Type="http://schemas.openxmlformats.org/officeDocument/2006/relationships/hyperlink" Target="http://vsolj.cetus-net.org/vsoljno5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9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20.140625" style="1" customWidth="1"/>
    <col min="2" max="2" width="5.140625" style="1" customWidth="1"/>
    <col min="3" max="3" width="11.8515625" style="1" customWidth="1"/>
    <col min="4" max="4" width="9.421875" style="1" customWidth="1"/>
    <col min="5" max="5" width="9.8515625" style="1" customWidth="1"/>
    <col min="6" max="6" width="16.85156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ht="20.25">
      <c r="A1" s="2" t="s">
        <v>0</v>
      </c>
    </row>
    <row r="2" spans="1:2" ht="12.75">
      <c r="A2" s="1" t="s">
        <v>1</v>
      </c>
      <c r="B2" s="3" t="s">
        <v>2</v>
      </c>
    </row>
    <row r="3" ht="12.75">
      <c r="C3" s="1" t="s">
        <v>3</v>
      </c>
    </row>
    <row r="4" spans="1:4" ht="12.75">
      <c r="A4" s="4" t="s">
        <v>4</v>
      </c>
      <c r="C4" s="5">
        <v>32216.367</v>
      </c>
      <c r="D4" s="6">
        <v>1.810524</v>
      </c>
    </row>
    <row r="5" spans="1:4" ht="12.75">
      <c r="A5" s="7" t="s">
        <v>5</v>
      </c>
      <c r="B5"/>
      <c r="C5" s="8">
        <v>-9.5</v>
      </c>
      <c r="D5" t="s">
        <v>6</v>
      </c>
    </row>
    <row r="6" ht="12.75">
      <c r="A6" s="4" t="s">
        <v>7</v>
      </c>
    </row>
    <row r="7" spans="1:3" ht="12.75">
      <c r="A7" s="1" t="s">
        <v>8</v>
      </c>
      <c r="C7" s="1">
        <f>+C4</f>
        <v>32216.367</v>
      </c>
    </row>
    <row r="8" spans="1:3" ht="12.75">
      <c r="A8" s="1" t="s">
        <v>9</v>
      </c>
      <c r="C8" s="1">
        <f>+D4</f>
        <v>1.810524</v>
      </c>
    </row>
    <row r="9" spans="1:4" ht="12.75">
      <c r="A9" s="9" t="s">
        <v>10</v>
      </c>
      <c r="B9" s="10">
        <v>46</v>
      </c>
      <c r="C9" s="11" t="str">
        <f>"F"&amp;B9</f>
        <v>F46</v>
      </c>
      <c r="D9" s="12" t="str">
        <f>"G"&amp;B9</f>
        <v>G46</v>
      </c>
    </row>
    <row r="10" spans="1:5" ht="12.75">
      <c r="A10"/>
      <c r="B10"/>
      <c r="C10" s="13" t="s">
        <v>11</v>
      </c>
      <c r="D10" s="13" t="s">
        <v>12</v>
      </c>
      <c r="E10"/>
    </row>
    <row r="11" spans="1:5" ht="12.75">
      <c r="A11" t="s">
        <v>13</v>
      </c>
      <c r="B11"/>
      <c r="C11" s="14">
        <f ca="1">INTERCEPT(INDIRECT($D$9):G990,INDIRECT($C$9):F990)</f>
        <v>-0.015896187172068185</v>
      </c>
      <c r="D11" s="15"/>
      <c r="E11"/>
    </row>
    <row r="12" spans="1:5" ht="12.75">
      <c r="A12" t="s">
        <v>14</v>
      </c>
      <c r="B12"/>
      <c r="C12" s="14">
        <f ca="1">SLOPE(INDIRECT($D$9):G990,INDIRECT($C$9):F990)</f>
        <v>3.818438313510081E-06</v>
      </c>
      <c r="D12" s="15"/>
      <c r="E12"/>
    </row>
    <row r="13" spans="1:3" ht="12.75">
      <c r="A13" t="s">
        <v>15</v>
      </c>
      <c r="B13"/>
      <c r="C13" s="15" t="s">
        <v>16</v>
      </c>
    </row>
    <row r="14" spans="1:3" ht="12.75">
      <c r="A14"/>
      <c r="B14"/>
      <c r="C14"/>
    </row>
    <row r="15" spans="1:6" ht="12.75">
      <c r="A15" s="16" t="s">
        <v>17</v>
      </c>
      <c r="B15"/>
      <c r="C15" s="17">
        <f>(C7+C11)+(C8+C12)*INT(MAX(F21:F3531))</f>
        <v>58179.32002021825</v>
      </c>
      <c r="E15" s="18" t="s">
        <v>18</v>
      </c>
      <c r="F15" s="8">
        <v>1</v>
      </c>
    </row>
    <row r="16" spans="1:6" ht="12.75">
      <c r="A16" s="16" t="s">
        <v>19</v>
      </c>
      <c r="B16"/>
      <c r="C16" s="17">
        <f>+C8+C12</f>
        <v>1.8105278184383136</v>
      </c>
      <c r="E16" s="18" t="s">
        <v>20</v>
      </c>
      <c r="F16" s="14">
        <f ca="1">NOW()+15018.5+$C$5/24</f>
        <v>59904.76582372685</v>
      </c>
    </row>
    <row r="17" spans="1:6" ht="12.75">
      <c r="A17" s="18" t="s">
        <v>21</v>
      </c>
      <c r="B17"/>
      <c r="C17">
        <f>COUNT(C21:C2189)</f>
        <v>59</v>
      </c>
      <c r="E17" s="18" t="s">
        <v>22</v>
      </c>
      <c r="F17" s="14">
        <f>ROUND(2*(F16-$C$7)/$C$8,0)/2+F15</f>
        <v>15294</v>
      </c>
    </row>
    <row r="18" spans="1:6" ht="12.75">
      <c r="A18" s="16" t="s">
        <v>23</v>
      </c>
      <c r="B18"/>
      <c r="C18" s="19">
        <f>+C15</f>
        <v>58179.32002021825</v>
      </c>
      <c r="D18" s="20">
        <f>+C16</f>
        <v>1.8105278184383136</v>
      </c>
      <c r="E18" s="18" t="s">
        <v>24</v>
      </c>
      <c r="F18" s="12">
        <f>ROUND(2*(F16-$C$15)/$C$16,0)/2+F15</f>
        <v>954</v>
      </c>
    </row>
    <row r="19" spans="5:6" ht="12.75">
      <c r="E19" s="18" t="s">
        <v>25</v>
      </c>
      <c r="F19" s="21">
        <f>+$C$15+$C$16*F18-15018.5-$C$5/24</f>
        <v>44888.459392341734</v>
      </c>
    </row>
    <row r="20" spans="1:21" ht="12.75">
      <c r="A20" s="13" t="s">
        <v>26</v>
      </c>
      <c r="B20" s="13" t="s">
        <v>27</v>
      </c>
      <c r="C20" s="13" t="s">
        <v>28</v>
      </c>
      <c r="D20" s="13" t="s">
        <v>29</v>
      </c>
      <c r="E20" s="13" t="s">
        <v>30</v>
      </c>
      <c r="F20" s="13" t="s">
        <v>31</v>
      </c>
      <c r="G20" s="13" t="s">
        <v>32</v>
      </c>
      <c r="H20" s="22" t="s">
        <v>33</v>
      </c>
      <c r="I20" s="22" t="s">
        <v>34</v>
      </c>
      <c r="J20" s="22" t="s">
        <v>35</v>
      </c>
      <c r="K20" s="22" t="s">
        <v>36</v>
      </c>
      <c r="L20" s="22" t="s">
        <v>37</v>
      </c>
      <c r="M20" s="22" t="s">
        <v>38</v>
      </c>
      <c r="N20" s="22" t="s">
        <v>39</v>
      </c>
      <c r="O20" s="22" t="s">
        <v>40</v>
      </c>
      <c r="P20" s="22" t="s">
        <v>41</v>
      </c>
      <c r="Q20" s="13" t="s">
        <v>42</v>
      </c>
      <c r="U20" s="23" t="s">
        <v>43</v>
      </c>
    </row>
    <row r="21" spans="1:17" ht="12.75">
      <c r="A21" s="1" t="s">
        <v>44</v>
      </c>
      <c r="C21" s="24">
        <v>25890.4</v>
      </c>
      <c r="D21" s="24"/>
      <c r="E21" s="1">
        <f aca="true" t="shared" si="0" ref="E21:E47">+(C21-C$7)/C$8</f>
        <v>-3493.997870229832</v>
      </c>
      <c r="F21" s="1">
        <f aca="true" t="shared" si="1" ref="F21:F47">ROUND(2*E21,0)/2</f>
        <v>-3494</v>
      </c>
      <c r="G21" s="1">
        <f aca="true" t="shared" si="2" ref="G21:G44">+C21-(C$7+F21*C$8)</f>
        <v>0.0038560000029974617</v>
      </c>
      <c r="H21" s="1">
        <f aca="true" t="shared" si="3" ref="H21:H36">+G21</f>
        <v>0.0038560000029974617</v>
      </c>
      <c r="O21" s="1">
        <f aca="true" t="shared" si="4" ref="O21:O52">+C$11+C$12*$F21</f>
        <v>-0.02923781063947241</v>
      </c>
      <c r="Q21" s="25">
        <f aca="true" t="shared" si="5" ref="Q21:Q47">+C21-15018.5</f>
        <v>10871.900000000001</v>
      </c>
    </row>
    <row r="22" spans="1:17" ht="12.75">
      <c r="A22" s="26" t="s">
        <v>45</v>
      </c>
      <c r="B22" s="27" t="s">
        <v>46</v>
      </c>
      <c r="C22" s="28">
        <v>26417.26</v>
      </c>
      <c r="D22" s="29"/>
      <c r="E22" s="1">
        <f t="shared" si="0"/>
        <v>-3202.999242208333</v>
      </c>
      <c r="F22" s="1">
        <f t="shared" si="1"/>
        <v>-3203</v>
      </c>
      <c r="G22" s="1">
        <f t="shared" si="2"/>
        <v>0.0013719999988097697</v>
      </c>
      <c r="H22" s="1">
        <f t="shared" si="3"/>
        <v>0.0013719999988097697</v>
      </c>
      <c r="O22" s="1">
        <f t="shared" si="4"/>
        <v>-0.028126645090240973</v>
      </c>
      <c r="Q22" s="25">
        <f t="shared" si="5"/>
        <v>11398.759999999998</v>
      </c>
    </row>
    <row r="23" spans="1:17" ht="12.75">
      <c r="A23" s="26" t="s">
        <v>45</v>
      </c>
      <c r="B23" s="27" t="s">
        <v>46</v>
      </c>
      <c r="C23" s="28">
        <v>26426.309</v>
      </c>
      <c r="D23" s="29"/>
      <c r="E23" s="1">
        <f t="shared" si="0"/>
        <v>-3198.0012416294935</v>
      </c>
      <c r="F23" s="1">
        <f t="shared" si="1"/>
        <v>-3198</v>
      </c>
      <c r="G23" s="1">
        <f t="shared" si="2"/>
        <v>-0.0022479999970528297</v>
      </c>
      <c r="H23" s="1">
        <f t="shared" si="3"/>
        <v>-0.0022479999970528297</v>
      </c>
      <c r="O23" s="1">
        <f t="shared" si="4"/>
        <v>-0.02810755289867342</v>
      </c>
      <c r="Q23" s="25">
        <f t="shared" si="5"/>
        <v>11407.809000000001</v>
      </c>
    </row>
    <row r="24" spans="1:17" ht="12.75">
      <c r="A24" s="26" t="s">
        <v>45</v>
      </c>
      <c r="B24" s="27" t="s">
        <v>46</v>
      </c>
      <c r="C24" s="28">
        <v>27161.382</v>
      </c>
      <c r="D24" s="24"/>
      <c r="E24" s="1">
        <f t="shared" si="0"/>
        <v>-2792.001100233964</v>
      </c>
      <c r="F24" s="1">
        <f t="shared" si="1"/>
        <v>-2792</v>
      </c>
      <c r="G24" s="1">
        <f t="shared" si="2"/>
        <v>-0.0019919999976991676</v>
      </c>
      <c r="H24" s="1">
        <f t="shared" si="3"/>
        <v>-0.0019919999976991676</v>
      </c>
      <c r="O24" s="1">
        <f t="shared" si="4"/>
        <v>-0.02655726694338833</v>
      </c>
      <c r="Q24" s="25">
        <f t="shared" si="5"/>
        <v>12142.882000000001</v>
      </c>
    </row>
    <row r="25" spans="1:17" ht="12.75">
      <c r="A25" s="26" t="s">
        <v>45</v>
      </c>
      <c r="B25" s="27" t="s">
        <v>46</v>
      </c>
      <c r="C25" s="28">
        <v>27811.363</v>
      </c>
      <c r="D25" s="24"/>
      <c r="E25" s="1">
        <f t="shared" si="0"/>
        <v>-2432.9995073249497</v>
      </c>
      <c r="F25" s="1">
        <f t="shared" si="1"/>
        <v>-2433</v>
      </c>
      <c r="G25" s="1">
        <f t="shared" si="2"/>
        <v>0.0008920000036596321</v>
      </c>
      <c r="H25" s="1">
        <f t="shared" si="3"/>
        <v>0.0008920000036596321</v>
      </c>
      <c r="O25" s="1">
        <f t="shared" si="4"/>
        <v>-0.02518644758883821</v>
      </c>
      <c r="Q25" s="25">
        <f t="shared" si="5"/>
        <v>12792.863000000001</v>
      </c>
    </row>
    <row r="26" spans="1:17" ht="12.75">
      <c r="A26" s="26" t="s">
        <v>45</v>
      </c>
      <c r="B26" s="27" t="s">
        <v>46</v>
      </c>
      <c r="C26" s="28">
        <v>28548.253</v>
      </c>
      <c r="D26" s="24"/>
      <c r="E26" s="1">
        <f t="shared" si="0"/>
        <v>-2025.99578906438</v>
      </c>
      <c r="F26" s="1">
        <f t="shared" si="1"/>
        <v>-2026</v>
      </c>
      <c r="G26" s="1">
        <f t="shared" si="2"/>
        <v>0.0076240000016696285</v>
      </c>
      <c r="H26" s="1">
        <f t="shared" si="3"/>
        <v>0.0076240000016696285</v>
      </c>
      <c r="O26" s="1">
        <f t="shared" si="4"/>
        <v>-0.02363234319523961</v>
      </c>
      <c r="Q26" s="25">
        <f t="shared" si="5"/>
        <v>13529.753</v>
      </c>
    </row>
    <row r="27" spans="1:17" ht="12.75">
      <c r="A27" s="26" t="s">
        <v>45</v>
      </c>
      <c r="B27" s="27" t="s">
        <v>46</v>
      </c>
      <c r="C27" s="28">
        <v>28812.592</v>
      </c>
      <c r="D27" s="24"/>
      <c r="E27" s="1">
        <f t="shared" si="0"/>
        <v>-1879.9944104579656</v>
      </c>
      <c r="F27" s="1">
        <f t="shared" si="1"/>
        <v>-1880</v>
      </c>
      <c r="G27" s="1">
        <f t="shared" si="2"/>
        <v>0.010120000002643792</v>
      </c>
      <c r="H27" s="1">
        <f t="shared" si="3"/>
        <v>0.010120000002643792</v>
      </c>
      <c r="O27" s="1">
        <f t="shared" si="4"/>
        <v>-0.023074851201467135</v>
      </c>
      <c r="Q27" s="25">
        <f t="shared" si="5"/>
        <v>13794.092</v>
      </c>
    </row>
    <row r="28" spans="1:17" ht="12.75">
      <c r="A28" s="1" t="s">
        <v>47</v>
      </c>
      <c r="C28" s="24">
        <v>30693.727</v>
      </c>
      <c r="D28" s="24"/>
      <c r="E28" s="1">
        <f t="shared" si="0"/>
        <v>-840.9940989459402</v>
      </c>
      <c r="F28" s="1">
        <f t="shared" si="1"/>
        <v>-841</v>
      </c>
      <c r="G28" s="1">
        <f t="shared" si="2"/>
        <v>0.010684000000765081</v>
      </c>
      <c r="H28" s="1">
        <f t="shared" si="3"/>
        <v>0.010684000000765081</v>
      </c>
      <c r="O28" s="1">
        <f t="shared" si="4"/>
        <v>-0.019107493793730165</v>
      </c>
      <c r="Q28" s="25">
        <f t="shared" si="5"/>
        <v>15675.226999999999</v>
      </c>
    </row>
    <row r="29" spans="1:17" ht="12.75">
      <c r="A29" s="26" t="s">
        <v>45</v>
      </c>
      <c r="B29" s="27" t="s">
        <v>46</v>
      </c>
      <c r="C29" s="28">
        <v>30793.298</v>
      </c>
      <c r="D29" s="24"/>
      <c r="E29" s="1">
        <f t="shared" si="0"/>
        <v>-785.9984181375113</v>
      </c>
      <c r="F29" s="1">
        <f t="shared" si="1"/>
        <v>-786</v>
      </c>
      <c r="G29" s="1">
        <f t="shared" si="2"/>
        <v>0.002864000001864042</v>
      </c>
      <c r="H29" s="1">
        <f t="shared" si="3"/>
        <v>0.002864000001864042</v>
      </c>
      <c r="O29" s="1">
        <f t="shared" si="4"/>
        <v>-0.01889747968648711</v>
      </c>
      <c r="Q29" s="25">
        <f t="shared" si="5"/>
        <v>15774.797999999999</v>
      </c>
    </row>
    <row r="30" spans="1:17" ht="12.75">
      <c r="A30" s="26" t="s">
        <v>48</v>
      </c>
      <c r="B30" s="27" t="s">
        <v>46</v>
      </c>
      <c r="C30" s="28">
        <v>31075.72</v>
      </c>
      <c r="D30" s="24"/>
      <c r="E30" s="1">
        <f t="shared" si="0"/>
        <v>-630.0093232677375</v>
      </c>
      <c r="F30" s="1">
        <f t="shared" si="1"/>
        <v>-630</v>
      </c>
      <c r="G30" s="1">
        <f t="shared" si="2"/>
        <v>-0.016879999995580874</v>
      </c>
      <c r="H30" s="1">
        <f t="shared" si="3"/>
        <v>-0.016879999995580874</v>
      </c>
      <c r="O30" s="1">
        <f t="shared" si="4"/>
        <v>-0.018301803309579538</v>
      </c>
      <c r="Q30" s="25">
        <f t="shared" si="5"/>
        <v>16057.220000000001</v>
      </c>
    </row>
    <row r="31" spans="1:17" ht="12.75">
      <c r="A31" s="26" t="s">
        <v>45</v>
      </c>
      <c r="B31" s="27" t="s">
        <v>46</v>
      </c>
      <c r="C31" s="28">
        <v>31146.35</v>
      </c>
      <c r="D31" s="24"/>
      <c r="E31" s="1">
        <f t="shared" si="0"/>
        <v>-590.9985175562433</v>
      </c>
      <c r="F31" s="1">
        <f t="shared" si="1"/>
        <v>-591</v>
      </c>
      <c r="G31" s="1">
        <f t="shared" si="2"/>
        <v>0.002683999999135267</v>
      </c>
      <c r="H31" s="1">
        <f t="shared" si="3"/>
        <v>0.002683999999135267</v>
      </c>
      <c r="O31" s="1">
        <f t="shared" si="4"/>
        <v>-0.018152884215352643</v>
      </c>
      <c r="Q31" s="25">
        <f t="shared" si="5"/>
        <v>16127.849999999999</v>
      </c>
    </row>
    <row r="32" spans="1:17" ht="12.75">
      <c r="A32" s="1" t="s">
        <v>47</v>
      </c>
      <c r="C32" s="24">
        <v>31497.6</v>
      </c>
      <c r="D32" s="24"/>
      <c r="E32" s="1">
        <f t="shared" si="0"/>
        <v>-396.9939089456974</v>
      </c>
      <c r="F32" s="1">
        <f t="shared" si="1"/>
        <v>-397</v>
      </c>
      <c r="G32" s="1">
        <f t="shared" si="2"/>
        <v>0.01102800000080606</v>
      </c>
      <c r="H32" s="1">
        <f t="shared" si="3"/>
        <v>0.01102800000080606</v>
      </c>
      <c r="O32" s="1">
        <f t="shared" si="4"/>
        <v>-0.017412107182531687</v>
      </c>
      <c r="Q32" s="25">
        <f t="shared" si="5"/>
        <v>16479.1</v>
      </c>
    </row>
    <row r="33" spans="1:17" ht="12.75">
      <c r="A33" s="1" t="s">
        <v>47</v>
      </c>
      <c r="C33" s="24">
        <v>31772.793</v>
      </c>
      <c r="D33" s="24"/>
      <c r="E33" s="1">
        <f t="shared" si="0"/>
        <v>-244.99758081085744</v>
      </c>
      <c r="F33" s="1">
        <f t="shared" si="1"/>
        <v>-245</v>
      </c>
      <c r="G33" s="1">
        <f t="shared" si="2"/>
        <v>0.004380000002129236</v>
      </c>
      <c r="H33" s="1">
        <f t="shared" si="3"/>
        <v>0.004380000002129236</v>
      </c>
      <c r="O33" s="1">
        <f t="shared" si="4"/>
        <v>-0.016831704558878155</v>
      </c>
      <c r="Q33" s="25">
        <f t="shared" si="5"/>
        <v>16754.293</v>
      </c>
    </row>
    <row r="34" spans="1:17" ht="12.75">
      <c r="A34" s="1" t="s">
        <v>49</v>
      </c>
      <c r="C34" s="24">
        <v>32216.367</v>
      </c>
      <c r="D34" s="24" t="s">
        <v>16</v>
      </c>
      <c r="E34" s="1">
        <f t="shared" si="0"/>
        <v>0</v>
      </c>
      <c r="F34" s="1">
        <f t="shared" si="1"/>
        <v>0</v>
      </c>
      <c r="G34" s="1">
        <f t="shared" si="2"/>
        <v>0</v>
      </c>
      <c r="H34" s="1">
        <f t="shared" si="3"/>
        <v>0</v>
      </c>
      <c r="O34" s="1">
        <f t="shared" si="4"/>
        <v>-0.015896187172068185</v>
      </c>
      <c r="Q34" s="25">
        <f t="shared" si="5"/>
        <v>17197.867</v>
      </c>
    </row>
    <row r="35" spans="1:17" ht="12.75">
      <c r="A35" s="26" t="s">
        <v>45</v>
      </c>
      <c r="B35" s="27" t="s">
        <v>46</v>
      </c>
      <c r="C35" s="28">
        <v>32609.242</v>
      </c>
      <c r="D35" s="24"/>
      <c r="E35" s="1">
        <f t="shared" si="0"/>
        <v>216.99519034268533</v>
      </c>
      <c r="F35" s="1">
        <f t="shared" si="1"/>
        <v>217</v>
      </c>
      <c r="G35" s="1">
        <f t="shared" si="2"/>
        <v>-0.008708000001206528</v>
      </c>
      <c r="H35" s="1">
        <f t="shared" si="3"/>
        <v>-0.008708000001206528</v>
      </c>
      <c r="O35" s="1">
        <f t="shared" si="4"/>
        <v>-0.015067586058036498</v>
      </c>
      <c r="Q35" s="25">
        <f t="shared" si="5"/>
        <v>17590.742</v>
      </c>
    </row>
    <row r="36" spans="1:17" ht="12.75">
      <c r="A36" s="26" t="s">
        <v>50</v>
      </c>
      <c r="B36" s="27" t="s">
        <v>46</v>
      </c>
      <c r="C36" s="28">
        <v>33688.314</v>
      </c>
      <c r="D36" s="24"/>
      <c r="E36" s="1">
        <f t="shared" si="0"/>
        <v>812.9950224354939</v>
      </c>
      <c r="F36" s="1">
        <f t="shared" si="1"/>
        <v>813</v>
      </c>
      <c r="G36" s="1">
        <f t="shared" si="2"/>
        <v>-0.009012000002257992</v>
      </c>
      <c r="H36" s="1">
        <f t="shared" si="3"/>
        <v>-0.009012000002257992</v>
      </c>
      <c r="O36" s="1">
        <f t="shared" si="4"/>
        <v>-0.01279179682318449</v>
      </c>
      <c r="Q36" s="25">
        <f t="shared" si="5"/>
        <v>18669.814</v>
      </c>
    </row>
    <row r="37" spans="1:17" ht="12.75">
      <c r="A37" s="30" t="s">
        <v>51</v>
      </c>
      <c r="B37" s="31"/>
      <c r="C37" s="24">
        <v>38446.39</v>
      </c>
      <c r="D37" s="32"/>
      <c r="E37" s="1">
        <f t="shared" si="0"/>
        <v>3441.005476867471</v>
      </c>
      <c r="F37" s="1">
        <f t="shared" si="1"/>
        <v>3441</v>
      </c>
      <c r="G37" s="1">
        <f t="shared" si="2"/>
        <v>0.009916000002704095</v>
      </c>
      <c r="I37" s="1">
        <f>+G37</f>
        <v>0.009916000002704095</v>
      </c>
      <c r="O37" s="1">
        <f t="shared" si="4"/>
        <v>-0.002756940935279997</v>
      </c>
      <c r="Q37" s="25">
        <f t="shared" si="5"/>
        <v>23427.89</v>
      </c>
    </row>
    <row r="38" spans="1:17" ht="12.75">
      <c r="A38" s="1" t="s">
        <v>52</v>
      </c>
      <c r="C38" s="24">
        <v>42833.289</v>
      </c>
      <c r="D38" s="24"/>
      <c r="E38" s="1">
        <f t="shared" si="0"/>
        <v>5864.00511675073</v>
      </c>
      <c r="F38" s="1">
        <f t="shared" si="1"/>
        <v>5864</v>
      </c>
      <c r="G38" s="1">
        <f t="shared" si="2"/>
        <v>0.00926400000025751</v>
      </c>
      <c r="H38" s="1">
        <f>+G38</f>
        <v>0.00926400000025751</v>
      </c>
      <c r="I38" s="1">
        <f aca="true" t="shared" si="6" ref="I38:I47">+G38</f>
        <v>0.00926400000025751</v>
      </c>
      <c r="O38" s="1">
        <f t="shared" si="4"/>
        <v>0.0064951350983549275</v>
      </c>
      <c r="Q38" s="25">
        <f t="shared" si="5"/>
        <v>27814.788999999997</v>
      </c>
    </row>
    <row r="39" spans="1:33" ht="12.75">
      <c r="A39" s="1" t="s">
        <v>53</v>
      </c>
      <c r="C39" s="24">
        <v>46110.347</v>
      </c>
      <c r="D39" s="24"/>
      <c r="E39" s="1">
        <f t="shared" si="0"/>
        <v>7674.010396990045</v>
      </c>
      <c r="F39" s="1">
        <f t="shared" si="1"/>
        <v>7674</v>
      </c>
      <c r="G39" s="1">
        <f t="shared" si="2"/>
        <v>0.018824000006134156</v>
      </c>
      <c r="I39" s="1">
        <f t="shared" si="6"/>
        <v>0.018824000006134156</v>
      </c>
      <c r="O39" s="1">
        <f t="shared" si="4"/>
        <v>0.013406508445808176</v>
      </c>
      <c r="Q39" s="25">
        <f t="shared" si="5"/>
        <v>31091.847</v>
      </c>
      <c r="AB39" s="1" t="s">
        <v>54</v>
      </c>
      <c r="AG39" s="1" t="s">
        <v>55</v>
      </c>
    </row>
    <row r="40" spans="1:33" ht="12.75">
      <c r="A40" s="1" t="s">
        <v>56</v>
      </c>
      <c r="C40" s="24">
        <v>47209.345</v>
      </c>
      <c r="D40" s="24"/>
      <c r="E40" s="1">
        <f t="shared" si="0"/>
        <v>8281.015882694735</v>
      </c>
      <c r="F40" s="1">
        <f t="shared" si="1"/>
        <v>8281</v>
      </c>
      <c r="G40" s="1">
        <f t="shared" si="2"/>
        <v>0.028755999999702908</v>
      </c>
      <c r="I40" s="1">
        <f t="shared" si="6"/>
        <v>0.028755999999702908</v>
      </c>
      <c r="J40" s="1">
        <f>+G40</f>
        <v>0.028755999999702908</v>
      </c>
      <c r="O40" s="1">
        <f t="shared" si="4"/>
        <v>0.015724300502108796</v>
      </c>
      <c r="Q40" s="25">
        <f t="shared" si="5"/>
        <v>32190.845</v>
      </c>
      <c r="AB40" s="1" t="s">
        <v>54</v>
      </c>
      <c r="AC40" s="1">
        <v>11</v>
      </c>
      <c r="AE40" s="1" t="s">
        <v>57</v>
      </c>
      <c r="AG40" s="1" t="s">
        <v>58</v>
      </c>
    </row>
    <row r="41" spans="1:33" ht="12.75">
      <c r="A41" s="1" t="s">
        <v>59</v>
      </c>
      <c r="C41" s="24">
        <v>47553.328</v>
      </c>
      <c r="D41" s="24"/>
      <c r="E41" s="1">
        <f t="shared" si="0"/>
        <v>8471.006736171408</v>
      </c>
      <c r="F41" s="1">
        <f t="shared" si="1"/>
        <v>8471</v>
      </c>
      <c r="G41" s="1">
        <f t="shared" si="2"/>
        <v>0.012196000003314111</v>
      </c>
      <c r="I41" s="1">
        <f t="shared" si="6"/>
        <v>0.012196000003314111</v>
      </c>
      <c r="J41" s="1">
        <f>+G41</f>
        <v>0.012196000003314111</v>
      </c>
      <c r="O41" s="1">
        <f t="shared" si="4"/>
        <v>0.01644980378167571</v>
      </c>
      <c r="Q41" s="25">
        <f t="shared" si="5"/>
        <v>32534.828</v>
      </c>
      <c r="AB41" s="1" t="s">
        <v>54</v>
      </c>
      <c r="AC41" s="1">
        <v>7</v>
      </c>
      <c r="AE41" s="1" t="s">
        <v>57</v>
      </c>
      <c r="AG41" s="1" t="s">
        <v>58</v>
      </c>
    </row>
    <row r="42" spans="1:33" ht="12.75">
      <c r="A42" s="1" t="s">
        <v>60</v>
      </c>
      <c r="C42" s="24">
        <v>47553.331</v>
      </c>
      <c r="D42" s="24"/>
      <c r="E42" s="1">
        <f t="shared" si="0"/>
        <v>8471.00839315027</v>
      </c>
      <c r="F42" s="1">
        <f t="shared" si="1"/>
        <v>8471</v>
      </c>
      <c r="G42" s="1">
        <f t="shared" si="2"/>
        <v>0.015196000000287313</v>
      </c>
      <c r="I42" s="1">
        <f t="shared" si="6"/>
        <v>0.015196000000287313</v>
      </c>
      <c r="O42" s="1">
        <f t="shared" si="4"/>
        <v>0.01644980378167571</v>
      </c>
      <c r="Q42" s="25">
        <f t="shared" si="5"/>
        <v>32534.831</v>
      </c>
      <c r="AB42" s="1" t="s">
        <v>33</v>
      </c>
      <c r="AG42" s="1" t="s">
        <v>55</v>
      </c>
    </row>
    <row r="43" spans="1:17" ht="12.75">
      <c r="A43" s="1" t="s">
        <v>61</v>
      </c>
      <c r="C43" s="24">
        <v>47553.335</v>
      </c>
      <c r="D43" s="24"/>
      <c r="E43" s="1">
        <f t="shared" si="0"/>
        <v>8471.010602455422</v>
      </c>
      <c r="F43" s="1">
        <f t="shared" si="1"/>
        <v>8471</v>
      </c>
      <c r="G43" s="1">
        <f t="shared" si="2"/>
        <v>0.01919600000110222</v>
      </c>
      <c r="I43" s="1">
        <f t="shared" si="6"/>
        <v>0.01919600000110222</v>
      </c>
      <c r="N43" s="1">
        <f>+G43</f>
        <v>0.01919600000110222</v>
      </c>
      <c r="O43" s="1">
        <f t="shared" si="4"/>
        <v>0.01644980378167571</v>
      </c>
      <c r="Q43" s="25">
        <f t="shared" si="5"/>
        <v>32534.835</v>
      </c>
    </row>
    <row r="44" spans="1:33" ht="12.75">
      <c r="A44" s="1" t="s">
        <v>60</v>
      </c>
      <c r="C44" s="24">
        <v>47562.389</v>
      </c>
      <c r="D44" s="24"/>
      <c r="E44" s="1">
        <f t="shared" si="0"/>
        <v>8476.011364665701</v>
      </c>
      <c r="F44" s="1">
        <f t="shared" si="1"/>
        <v>8476</v>
      </c>
      <c r="G44" s="1">
        <f t="shared" si="2"/>
        <v>0.020576000002620276</v>
      </c>
      <c r="I44" s="1">
        <f t="shared" si="6"/>
        <v>0.020576000002620276</v>
      </c>
      <c r="O44" s="1">
        <f t="shared" si="4"/>
        <v>0.01646889597324326</v>
      </c>
      <c r="Q44" s="25">
        <f t="shared" si="5"/>
        <v>32543.889000000003</v>
      </c>
      <c r="AB44" s="1" t="s">
        <v>33</v>
      </c>
      <c r="AG44" s="1" t="s">
        <v>55</v>
      </c>
    </row>
    <row r="45" spans="1:33" ht="12.75">
      <c r="A45" s="1" t="s">
        <v>62</v>
      </c>
      <c r="C45" s="24">
        <v>47924.472</v>
      </c>
      <c r="D45" s="24"/>
      <c r="E45" s="1">
        <f t="shared" si="0"/>
        <v>8675.999323952625</v>
      </c>
      <c r="F45" s="1">
        <f t="shared" si="1"/>
        <v>8676</v>
      </c>
      <c r="O45" s="1">
        <f t="shared" si="4"/>
        <v>0.01723258363594528</v>
      </c>
      <c r="Q45" s="25">
        <f t="shared" si="5"/>
        <v>32905.972</v>
      </c>
      <c r="U45" s="12">
        <v>-0.0012239999996381812</v>
      </c>
      <c r="AB45" s="1" t="s">
        <v>54</v>
      </c>
      <c r="AC45" s="1">
        <v>12</v>
      </c>
      <c r="AE45" s="1" t="s">
        <v>57</v>
      </c>
      <c r="AG45" s="1" t="s">
        <v>58</v>
      </c>
    </row>
    <row r="46" spans="1:33" ht="12.75">
      <c r="A46" s="1" t="s">
        <v>63</v>
      </c>
      <c r="C46" s="24">
        <v>48308.317</v>
      </c>
      <c r="D46" s="24"/>
      <c r="E46" s="1">
        <f t="shared" si="0"/>
        <v>8888.007007915943</v>
      </c>
      <c r="F46" s="1">
        <f t="shared" si="1"/>
        <v>8888</v>
      </c>
      <c r="G46" s="1">
        <f aca="true" t="shared" si="7" ref="G46:G78">+C46-(C$7+F46*C$8)</f>
        <v>0.012688000002526678</v>
      </c>
      <c r="I46" s="1">
        <f t="shared" si="6"/>
        <v>0.012688000002526678</v>
      </c>
      <c r="J46" s="1">
        <f>+G46</f>
        <v>0.012688000002526678</v>
      </c>
      <c r="O46" s="1">
        <f t="shared" si="4"/>
        <v>0.01804209255840941</v>
      </c>
      <c r="Q46" s="25">
        <f t="shared" si="5"/>
        <v>33289.817</v>
      </c>
      <c r="AB46" s="1" t="s">
        <v>54</v>
      </c>
      <c r="AC46" s="1">
        <v>7</v>
      </c>
      <c r="AE46" s="1" t="s">
        <v>64</v>
      </c>
      <c r="AG46" s="1" t="s">
        <v>58</v>
      </c>
    </row>
    <row r="47" spans="1:33" ht="12.75">
      <c r="A47" s="1" t="s">
        <v>65</v>
      </c>
      <c r="C47" s="24">
        <v>48652.33</v>
      </c>
      <c r="D47" s="24">
        <v>0.005</v>
      </c>
      <c r="E47" s="1">
        <f t="shared" si="0"/>
        <v>9078.014431181251</v>
      </c>
      <c r="F47" s="1">
        <f t="shared" si="1"/>
        <v>9078</v>
      </c>
      <c r="G47" s="1">
        <f t="shared" si="7"/>
        <v>0.026128000004973728</v>
      </c>
      <c r="I47" s="1">
        <f t="shared" si="6"/>
        <v>0.026128000004973728</v>
      </c>
      <c r="J47" s="1">
        <f>+G47</f>
        <v>0.026128000004973728</v>
      </c>
      <c r="O47" s="1">
        <f t="shared" si="4"/>
        <v>0.018767595837976325</v>
      </c>
      <c r="Q47" s="25">
        <f t="shared" si="5"/>
        <v>33633.83</v>
      </c>
      <c r="AB47" s="1" t="s">
        <v>54</v>
      </c>
      <c r="AC47" s="1">
        <v>8</v>
      </c>
      <c r="AE47" s="1" t="s">
        <v>57</v>
      </c>
      <c r="AG47" s="1" t="s">
        <v>58</v>
      </c>
    </row>
    <row r="48" spans="1:33" ht="12.75">
      <c r="A48" s="1" t="s">
        <v>66</v>
      </c>
      <c r="C48" s="24">
        <v>49005.3723</v>
      </c>
      <c r="D48" s="24"/>
      <c r="E48" s="1">
        <f aca="true" t="shared" si="8" ref="E48:E78">+(C48-C$7)/C$8</f>
        <v>9273.008974197528</v>
      </c>
      <c r="F48" s="1">
        <f aca="true" t="shared" si="9" ref="F48:F79">ROUND(2*E48,0)/2</f>
        <v>9273</v>
      </c>
      <c r="G48" s="1">
        <f t="shared" si="7"/>
        <v>0.016247999999905005</v>
      </c>
      <c r="J48" s="1">
        <f>+G48</f>
        <v>0.016247999999905005</v>
      </c>
      <c r="O48" s="1">
        <f t="shared" si="4"/>
        <v>0.01951219130911079</v>
      </c>
      <c r="Q48" s="25">
        <f aca="true" t="shared" si="10" ref="Q48:Q78">+C48-15018.5</f>
        <v>33986.8723</v>
      </c>
      <c r="AB48" s="1" t="s">
        <v>67</v>
      </c>
      <c r="AG48" s="1" t="s">
        <v>55</v>
      </c>
    </row>
    <row r="49" spans="1:33" ht="12.75">
      <c r="A49" s="1" t="s">
        <v>68</v>
      </c>
      <c r="C49" s="24">
        <v>49005.38</v>
      </c>
      <c r="D49" s="24">
        <v>0.007</v>
      </c>
      <c r="E49" s="1">
        <f t="shared" si="8"/>
        <v>9273.013227109941</v>
      </c>
      <c r="F49" s="1">
        <f t="shared" si="9"/>
        <v>9273</v>
      </c>
      <c r="G49" s="1">
        <f t="shared" si="7"/>
        <v>0.023947999994561542</v>
      </c>
      <c r="I49" s="1">
        <f>+G49</f>
        <v>0.023947999994561542</v>
      </c>
      <c r="O49" s="1">
        <f t="shared" si="4"/>
        <v>0.01951219130911079</v>
      </c>
      <c r="Q49" s="25">
        <f t="shared" si="10"/>
        <v>33986.88</v>
      </c>
      <c r="AB49" s="1" t="s">
        <v>54</v>
      </c>
      <c r="AC49" s="1">
        <v>38</v>
      </c>
      <c r="AE49" s="1" t="s">
        <v>69</v>
      </c>
      <c r="AG49" s="1" t="s">
        <v>58</v>
      </c>
    </row>
    <row r="50" spans="1:33" ht="12.75">
      <c r="A50" s="1" t="s">
        <v>68</v>
      </c>
      <c r="C50" s="24">
        <v>49005.389</v>
      </c>
      <c r="D50" s="24">
        <v>0.005</v>
      </c>
      <c r="E50" s="1">
        <f t="shared" si="8"/>
        <v>9273.018198046535</v>
      </c>
      <c r="F50" s="1">
        <f t="shared" si="9"/>
        <v>9273</v>
      </c>
      <c r="G50" s="1">
        <f t="shared" si="7"/>
        <v>0.03294800000003306</v>
      </c>
      <c r="I50" s="1">
        <f>+G50</f>
        <v>0.03294800000003306</v>
      </c>
      <c r="O50" s="1">
        <f t="shared" si="4"/>
        <v>0.01951219130911079</v>
      </c>
      <c r="Q50" s="25">
        <f t="shared" si="10"/>
        <v>33986.889</v>
      </c>
      <c r="AB50" s="1" t="s">
        <v>54</v>
      </c>
      <c r="AC50" s="1">
        <v>10</v>
      </c>
      <c r="AE50" s="1" t="s">
        <v>57</v>
      </c>
      <c r="AG50" s="1" t="s">
        <v>58</v>
      </c>
    </row>
    <row r="51" spans="1:33" ht="12.75">
      <c r="A51" s="1" t="s">
        <v>70</v>
      </c>
      <c r="C51" s="24">
        <v>49416.371</v>
      </c>
      <c r="D51" s="24"/>
      <c r="E51" s="1">
        <f t="shared" si="8"/>
        <v>9500.014360483485</v>
      </c>
      <c r="F51" s="1">
        <f t="shared" si="9"/>
        <v>9500</v>
      </c>
      <c r="G51" s="1">
        <f t="shared" si="7"/>
        <v>0.02599999999802094</v>
      </c>
      <c r="I51" s="1">
        <f>+G51</f>
        <v>0.02599999999802094</v>
      </c>
      <c r="O51" s="1">
        <f t="shared" si="4"/>
        <v>0.02037897680627758</v>
      </c>
      <c r="Q51" s="25">
        <f t="shared" si="10"/>
        <v>34397.871</v>
      </c>
      <c r="AB51" s="1" t="s">
        <v>54</v>
      </c>
      <c r="AC51" s="1">
        <v>8</v>
      </c>
      <c r="AE51" s="1" t="s">
        <v>57</v>
      </c>
      <c r="AG51" s="1" t="s">
        <v>58</v>
      </c>
    </row>
    <row r="52" spans="1:33" ht="12.75">
      <c r="A52" s="1" t="s">
        <v>71</v>
      </c>
      <c r="C52" s="24">
        <v>49789.334</v>
      </c>
      <c r="D52" s="24">
        <v>0.006</v>
      </c>
      <c r="E52" s="1">
        <f t="shared" si="8"/>
        <v>9706.011629782319</v>
      </c>
      <c r="F52" s="1">
        <f t="shared" si="9"/>
        <v>9706</v>
      </c>
      <c r="G52" s="1">
        <f t="shared" si="7"/>
        <v>0.02105600000504637</v>
      </c>
      <c r="I52" s="1">
        <f>+G52</f>
        <v>0.02105600000504637</v>
      </c>
      <c r="O52" s="1">
        <f t="shared" si="4"/>
        <v>0.02116557509886066</v>
      </c>
      <c r="Q52" s="25">
        <f t="shared" si="10"/>
        <v>34770.834</v>
      </c>
      <c r="AB52" s="1" t="s">
        <v>54</v>
      </c>
      <c r="AC52" s="1">
        <v>10</v>
      </c>
      <c r="AE52" s="1" t="s">
        <v>57</v>
      </c>
      <c r="AG52" s="1" t="s">
        <v>58</v>
      </c>
    </row>
    <row r="53" spans="1:33" ht="12.75">
      <c r="A53" s="1" t="s">
        <v>72</v>
      </c>
      <c r="C53" s="24">
        <v>50486.382</v>
      </c>
      <c r="D53" s="24">
        <v>0.005</v>
      </c>
      <c r="E53" s="1">
        <f t="shared" si="8"/>
        <v>10091.009564082</v>
      </c>
      <c r="F53" s="1">
        <f t="shared" si="9"/>
        <v>10091</v>
      </c>
      <c r="G53" s="1">
        <f t="shared" si="7"/>
        <v>0.01731599999766331</v>
      </c>
      <c r="I53" s="1">
        <f>+G53</f>
        <v>0.01731599999766331</v>
      </c>
      <c r="O53" s="1">
        <f aca="true" t="shared" si="11" ref="O53:O78">+C$11+C$12*$F53</f>
        <v>0.02263567384956204</v>
      </c>
      <c r="Q53" s="25">
        <f t="shared" si="10"/>
        <v>35467.882</v>
      </c>
      <c r="AB53" s="1" t="s">
        <v>54</v>
      </c>
      <c r="AC53" s="1">
        <v>9</v>
      </c>
      <c r="AE53" s="1" t="s">
        <v>57</v>
      </c>
      <c r="AG53" s="1" t="s">
        <v>58</v>
      </c>
    </row>
    <row r="54" spans="1:33" ht="12.75">
      <c r="A54" s="1" t="s">
        <v>73</v>
      </c>
      <c r="C54" s="24">
        <v>50859.3486</v>
      </c>
      <c r="D54" s="24">
        <v>0.0013</v>
      </c>
      <c r="E54" s="1">
        <f t="shared" si="8"/>
        <v>10297.00882175547</v>
      </c>
      <c r="F54" s="1">
        <f t="shared" si="9"/>
        <v>10297</v>
      </c>
      <c r="G54" s="1">
        <f t="shared" si="7"/>
        <v>0.015971999993780628</v>
      </c>
      <c r="J54" s="1">
        <f>+G54</f>
        <v>0.015971999993780628</v>
      </c>
      <c r="O54" s="1">
        <f t="shared" si="11"/>
        <v>0.023422272142145116</v>
      </c>
      <c r="Q54" s="25">
        <f t="shared" si="10"/>
        <v>35840.8486</v>
      </c>
      <c r="AB54" s="1" t="s">
        <v>74</v>
      </c>
      <c r="AC54" s="1">
        <v>16</v>
      </c>
      <c r="AE54" s="1" t="s">
        <v>75</v>
      </c>
      <c r="AG54" s="1" t="s">
        <v>58</v>
      </c>
    </row>
    <row r="55" spans="1:33" ht="12.75">
      <c r="A55" s="1" t="s">
        <v>73</v>
      </c>
      <c r="C55" s="24">
        <v>50859.362</v>
      </c>
      <c r="D55" s="24">
        <v>0.008</v>
      </c>
      <c r="E55" s="1">
        <f t="shared" si="8"/>
        <v>10297.016222927728</v>
      </c>
      <c r="F55" s="1">
        <f t="shared" si="9"/>
        <v>10297</v>
      </c>
      <c r="G55" s="1">
        <f t="shared" si="7"/>
        <v>0.029371999997238163</v>
      </c>
      <c r="I55" s="1">
        <f>+G55</f>
        <v>0.029371999997238163</v>
      </c>
      <c r="O55" s="1">
        <f t="shared" si="11"/>
        <v>0.023422272142145116</v>
      </c>
      <c r="Q55" s="25">
        <f t="shared" si="10"/>
        <v>35840.862</v>
      </c>
      <c r="AB55" s="1" t="s">
        <v>54</v>
      </c>
      <c r="AC55" s="1">
        <v>11</v>
      </c>
      <c r="AE55" s="1" t="s">
        <v>57</v>
      </c>
      <c r="AG55" s="1" t="s">
        <v>58</v>
      </c>
    </row>
    <row r="56" spans="1:17" ht="12.75">
      <c r="A56" s="33" t="s">
        <v>76</v>
      </c>
      <c r="B56" s="34" t="s">
        <v>46</v>
      </c>
      <c r="C56" s="24">
        <v>52682.55</v>
      </c>
      <c r="D56" s="32">
        <v>0.001</v>
      </c>
      <c r="E56" s="1">
        <f t="shared" si="8"/>
        <v>11304.01088303718</v>
      </c>
      <c r="F56" s="1">
        <f t="shared" si="9"/>
        <v>11304</v>
      </c>
      <c r="G56" s="1">
        <f t="shared" si="7"/>
        <v>0.01970400000573136</v>
      </c>
      <c r="K56" s="1">
        <f aca="true" t="shared" si="12" ref="K56:K64">+G56</f>
        <v>0.01970400000573136</v>
      </c>
      <c r="O56" s="1">
        <f t="shared" si="11"/>
        <v>0.027267439523849767</v>
      </c>
      <c r="Q56" s="25">
        <f t="shared" si="10"/>
        <v>37664.05</v>
      </c>
    </row>
    <row r="57" spans="1:17" ht="12.75">
      <c r="A57" s="35" t="s">
        <v>77</v>
      </c>
      <c r="B57" s="36" t="s">
        <v>46</v>
      </c>
      <c r="C57" s="29">
        <v>53028.3631</v>
      </c>
      <c r="D57" s="37">
        <v>0.0051</v>
      </c>
      <c r="E57" s="1">
        <f t="shared" si="8"/>
        <v>11495.012548853263</v>
      </c>
      <c r="F57" s="1">
        <f t="shared" si="9"/>
        <v>11495</v>
      </c>
      <c r="G57" s="1">
        <f t="shared" si="7"/>
        <v>0.022720000008121133</v>
      </c>
      <c r="K57" s="1">
        <f t="shared" si="12"/>
        <v>0.022720000008121133</v>
      </c>
      <c r="O57" s="1">
        <f t="shared" si="11"/>
        <v>0.027996761241730193</v>
      </c>
      <c r="Q57" s="25">
        <f t="shared" si="10"/>
        <v>38009.8631</v>
      </c>
    </row>
    <row r="58" spans="1:17" ht="12.75">
      <c r="A58" s="38" t="s">
        <v>78</v>
      </c>
      <c r="B58" s="39"/>
      <c r="C58" s="29">
        <v>53417.6301</v>
      </c>
      <c r="D58" s="29">
        <v>0.0001</v>
      </c>
      <c r="E58" s="1">
        <f t="shared" si="8"/>
        <v>11710.014945949351</v>
      </c>
      <c r="F58" s="1">
        <f t="shared" si="9"/>
        <v>11710</v>
      </c>
      <c r="G58" s="1">
        <f t="shared" si="7"/>
        <v>0.027060000000346918</v>
      </c>
      <c r="K58" s="1">
        <f t="shared" si="12"/>
        <v>0.027060000000346918</v>
      </c>
      <c r="O58" s="1">
        <f t="shared" si="11"/>
        <v>0.02881772547913486</v>
      </c>
      <c r="Q58" s="25">
        <f t="shared" si="10"/>
        <v>38399.1301</v>
      </c>
    </row>
    <row r="59" spans="1:17" ht="12.75">
      <c r="A59" s="29" t="s">
        <v>79</v>
      </c>
      <c r="B59" s="40" t="s">
        <v>46</v>
      </c>
      <c r="C59" s="29">
        <v>54860.623</v>
      </c>
      <c r="D59" s="29">
        <v>0.0003</v>
      </c>
      <c r="E59" s="1">
        <f t="shared" si="8"/>
        <v>12507.01785781354</v>
      </c>
      <c r="F59" s="1">
        <f t="shared" si="9"/>
        <v>12507</v>
      </c>
      <c r="G59" s="1">
        <f t="shared" si="7"/>
        <v>0.03233200000249781</v>
      </c>
      <c r="K59" s="1">
        <f t="shared" si="12"/>
        <v>0.03233200000249781</v>
      </c>
      <c r="O59" s="1">
        <f t="shared" si="11"/>
        <v>0.031861020815002396</v>
      </c>
      <c r="Q59" s="25">
        <f t="shared" si="10"/>
        <v>39842.123</v>
      </c>
    </row>
    <row r="60" spans="1:17" ht="12.75">
      <c r="A60" s="33" t="s">
        <v>80</v>
      </c>
      <c r="B60" s="41" t="s">
        <v>46</v>
      </c>
      <c r="C60" s="33">
        <v>55144.8754</v>
      </c>
      <c r="D60" s="33">
        <v>0.0006</v>
      </c>
      <c r="E60" s="1">
        <f t="shared" si="8"/>
        <v>12664.017930720609</v>
      </c>
      <c r="F60" s="1">
        <f t="shared" si="9"/>
        <v>12664</v>
      </c>
      <c r="G60" s="1">
        <f t="shared" si="7"/>
        <v>0.032463999996252824</v>
      </c>
      <c r="K60" s="1">
        <f t="shared" si="12"/>
        <v>0.032463999996252824</v>
      </c>
      <c r="O60" s="1">
        <f t="shared" si="11"/>
        <v>0.03246051563022348</v>
      </c>
      <c r="Q60" s="25">
        <f t="shared" si="10"/>
        <v>40126.3754</v>
      </c>
    </row>
    <row r="61" spans="1:17" ht="12.75">
      <c r="A61" s="33" t="s">
        <v>81</v>
      </c>
      <c r="B61" s="41" t="s">
        <v>46</v>
      </c>
      <c r="C61" s="33">
        <v>54154.5213</v>
      </c>
      <c r="D61" s="33">
        <v>0.001</v>
      </c>
      <c r="E61" s="1">
        <f t="shared" si="8"/>
        <v>12117.019327001466</v>
      </c>
      <c r="F61" s="1">
        <f t="shared" si="9"/>
        <v>12117</v>
      </c>
      <c r="G61" s="1">
        <f t="shared" si="7"/>
        <v>0.034992000000784174</v>
      </c>
      <c r="K61" s="1">
        <f t="shared" si="12"/>
        <v>0.034992000000784174</v>
      </c>
      <c r="O61" s="1">
        <f t="shared" si="11"/>
        <v>0.030371829872733465</v>
      </c>
      <c r="Q61" s="25">
        <f t="shared" si="10"/>
        <v>39136.0213</v>
      </c>
    </row>
    <row r="62" spans="1:17" ht="12.75">
      <c r="A62" s="33" t="s">
        <v>81</v>
      </c>
      <c r="B62" s="41" t="s">
        <v>46</v>
      </c>
      <c r="C62" s="33">
        <v>54330.1376</v>
      </c>
      <c r="D62" s="33">
        <v>0.0005</v>
      </c>
      <c r="E62" s="1">
        <f t="shared" si="8"/>
        <v>12214.016826068035</v>
      </c>
      <c r="F62" s="1">
        <f t="shared" si="9"/>
        <v>12214</v>
      </c>
      <c r="G62" s="1">
        <f t="shared" si="7"/>
        <v>0.030464000003121328</v>
      </c>
      <c r="K62" s="1">
        <f t="shared" si="12"/>
        <v>0.030464000003121328</v>
      </c>
      <c r="O62" s="1">
        <f t="shared" si="11"/>
        <v>0.03074221838914394</v>
      </c>
      <c r="Q62" s="25">
        <f t="shared" si="10"/>
        <v>39311.6376</v>
      </c>
    </row>
    <row r="63" spans="1:17" ht="12.75">
      <c r="A63" s="33" t="s">
        <v>81</v>
      </c>
      <c r="B63" s="41" t="s">
        <v>46</v>
      </c>
      <c r="C63" s="33">
        <v>54507.5728</v>
      </c>
      <c r="D63" s="33">
        <v>0.0005</v>
      </c>
      <c r="E63" s="1">
        <f t="shared" si="8"/>
        <v>12312.01895141959</v>
      </c>
      <c r="F63" s="1">
        <f t="shared" si="9"/>
        <v>12312</v>
      </c>
      <c r="G63" s="1">
        <f t="shared" si="7"/>
        <v>0.0343120000034105</v>
      </c>
      <c r="K63" s="1">
        <f t="shared" si="12"/>
        <v>0.0343120000034105</v>
      </c>
      <c r="O63" s="1">
        <f t="shared" si="11"/>
        <v>0.03111642534386793</v>
      </c>
      <c r="Q63" s="25">
        <f t="shared" si="10"/>
        <v>39489.0728</v>
      </c>
    </row>
    <row r="64" spans="1:17" ht="12.75">
      <c r="A64" s="42" t="s">
        <v>82</v>
      </c>
      <c r="B64" s="40" t="s">
        <v>46</v>
      </c>
      <c r="C64" s="29">
        <v>55517.8463</v>
      </c>
      <c r="D64" s="29">
        <v>0.0013</v>
      </c>
      <c r="E64" s="1">
        <f t="shared" si="8"/>
        <v>12870.019563397116</v>
      </c>
      <c r="F64" s="1">
        <f t="shared" si="9"/>
        <v>12870</v>
      </c>
      <c r="G64" s="1">
        <f t="shared" si="7"/>
        <v>0.035420000000158325</v>
      </c>
      <c r="K64" s="1">
        <f t="shared" si="12"/>
        <v>0.035420000000158325</v>
      </c>
      <c r="O64" s="1">
        <f t="shared" si="11"/>
        <v>0.033247113922806555</v>
      </c>
      <c r="Q64" s="25">
        <f t="shared" si="10"/>
        <v>40499.3463</v>
      </c>
    </row>
    <row r="65" spans="1:33" ht="12.75">
      <c r="A65" s="1" t="s">
        <v>83</v>
      </c>
      <c r="C65" s="24">
        <v>48916.6576</v>
      </c>
      <c r="D65" s="24"/>
      <c r="E65" s="1">
        <f t="shared" si="8"/>
        <v>9224.009513267982</v>
      </c>
      <c r="F65" s="1">
        <f t="shared" si="9"/>
        <v>9224</v>
      </c>
      <c r="G65" s="1">
        <f t="shared" si="7"/>
        <v>0.01722400000289781</v>
      </c>
      <c r="J65" s="1">
        <f>+G65</f>
        <v>0.01722400000289781</v>
      </c>
      <c r="O65" s="1">
        <f t="shared" si="11"/>
        <v>0.0193250878317488</v>
      </c>
      <c r="Q65" s="25">
        <f t="shared" si="10"/>
        <v>33898.1576</v>
      </c>
      <c r="AB65" s="1" t="s">
        <v>67</v>
      </c>
      <c r="AG65" s="1" t="s">
        <v>55</v>
      </c>
    </row>
    <row r="66" spans="1:17" ht="12.75">
      <c r="A66" s="29" t="s">
        <v>84</v>
      </c>
      <c r="B66" s="40" t="s">
        <v>46</v>
      </c>
      <c r="C66" s="29">
        <v>54500.3287</v>
      </c>
      <c r="D66" s="29">
        <v>0.0001</v>
      </c>
      <c r="E66" s="1">
        <f t="shared" si="8"/>
        <v>12308.017844557708</v>
      </c>
      <c r="F66" s="1">
        <f t="shared" si="9"/>
        <v>12308</v>
      </c>
      <c r="G66" s="1">
        <f t="shared" si="7"/>
        <v>0.03230799999437295</v>
      </c>
      <c r="J66" s="1">
        <f>+G66</f>
        <v>0.03230799999437295</v>
      </c>
      <c r="O66" s="1">
        <f t="shared" si="11"/>
        <v>0.03110115159061389</v>
      </c>
      <c r="Q66" s="25">
        <f t="shared" si="10"/>
        <v>39481.8287</v>
      </c>
    </row>
    <row r="67" spans="1:17" ht="12.75">
      <c r="A67" s="33" t="s">
        <v>85</v>
      </c>
      <c r="B67" s="41" t="s">
        <v>46</v>
      </c>
      <c r="C67" s="33">
        <v>54843.4298</v>
      </c>
      <c r="D67" s="33" t="s">
        <v>86</v>
      </c>
      <c r="E67" s="1">
        <f t="shared" si="8"/>
        <v>12497.521601481118</v>
      </c>
      <c r="F67" s="1">
        <f t="shared" si="9"/>
        <v>12497.5</v>
      </c>
      <c r="G67" s="1">
        <f t="shared" si="7"/>
        <v>0.039109999997890554</v>
      </c>
      <c r="J67" s="1">
        <f>+G67</f>
        <v>0.039109999997890554</v>
      </c>
      <c r="O67" s="1">
        <f t="shared" si="11"/>
        <v>0.03182474565102405</v>
      </c>
      <c r="Q67" s="25">
        <f t="shared" si="10"/>
        <v>39824.9298</v>
      </c>
    </row>
    <row r="68" spans="1:17" ht="12.75">
      <c r="A68" s="42" t="s">
        <v>87</v>
      </c>
      <c r="B68" s="42"/>
      <c r="C68" s="29">
        <v>55472.5706</v>
      </c>
      <c r="D68" s="29">
        <v>0.0022</v>
      </c>
      <c r="E68" s="1">
        <f t="shared" si="8"/>
        <v>12845.012604085889</v>
      </c>
      <c r="F68" s="1">
        <f t="shared" si="9"/>
        <v>12845</v>
      </c>
      <c r="G68" s="1">
        <f t="shared" si="7"/>
        <v>0.02282000000559492</v>
      </c>
      <c r="J68" s="1">
        <f>+G68</f>
        <v>0.02282000000559492</v>
      </c>
      <c r="O68" s="1">
        <f t="shared" si="11"/>
        <v>0.0331516529649688</v>
      </c>
      <c r="Q68" s="25">
        <f t="shared" si="10"/>
        <v>40454.0706</v>
      </c>
    </row>
    <row r="69" spans="1:17" ht="12.75">
      <c r="A69" s="42" t="s">
        <v>88</v>
      </c>
      <c r="B69" s="40" t="s">
        <v>46</v>
      </c>
      <c r="C69" s="29">
        <v>56694.6945</v>
      </c>
      <c r="D69" s="29">
        <v>0.0001</v>
      </c>
      <c r="E69" s="1">
        <f t="shared" si="8"/>
        <v>13520.023761076904</v>
      </c>
      <c r="F69" s="1">
        <f t="shared" si="9"/>
        <v>13520</v>
      </c>
      <c r="G69" s="1">
        <f t="shared" si="7"/>
        <v>0.043019999997341074</v>
      </c>
      <c r="K69" s="1">
        <f aca="true" t="shared" si="13" ref="K69:K77">+G69</f>
        <v>0.043019999997341074</v>
      </c>
      <c r="O69" s="1">
        <f t="shared" si="11"/>
        <v>0.035729098826588104</v>
      </c>
      <c r="Q69" s="25">
        <f t="shared" si="10"/>
        <v>41676.1945</v>
      </c>
    </row>
    <row r="70" spans="1:17" ht="12.75">
      <c r="A70" s="43" t="s">
        <v>89</v>
      </c>
      <c r="B70" s="44" t="s">
        <v>46</v>
      </c>
      <c r="C70" s="45">
        <v>57067.6643</v>
      </c>
      <c r="D70" s="45">
        <v>0.0001</v>
      </c>
      <c r="E70" s="1">
        <f t="shared" si="8"/>
        <v>13726.024786194494</v>
      </c>
      <c r="F70" s="1">
        <f t="shared" si="9"/>
        <v>13726</v>
      </c>
      <c r="G70" s="1">
        <f t="shared" si="7"/>
        <v>0.044875999992655125</v>
      </c>
      <c r="K70" s="1">
        <f t="shared" si="13"/>
        <v>0.044875999992655125</v>
      </c>
      <c r="O70" s="1">
        <f t="shared" si="11"/>
        <v>0.03651569711917119</v>
      </c>
      <c r="Q70" s="25">
        <f t="shared" si="10"/>
        <v>42049.1643</v>
      </c>
    </row>
    <row r="71" spans="1:17" ht="12.75">
      <c r="A71" s="33" t="s">
        <v>90</v>
      </c>
      <c r="B71" s="41" t="s">
        <v>46</v>
      </c>
      <c r="C71" s="33">
        <v>53763.44284</v>
      </c>
      <c r="D71" s="33" t="s">
        <v>36</v>
      </c>
      <c r="E71" s="1">
        <f t="shared" si="8"/>
        <v>11901.016412927973</v>
      </c>
      <c r="F71" s="1">
        <f t="shared" si="9"/>
        <v>11901</v>
      </c>
      <c r="G71" s="1">
        <f t="shared" si="7"/>
        <v>0.0297160000045551</v>
      </c>
      <c r="K71" s="1">
        <f t="shared" si="13"/>
        <v>0.0297160000045551</v>
      </c>
      <c r="O71" s="1">
        <f t="shared" si="11"/>
        <v>0.029547047197015286</v>
      </c>
      <c r="Q71" s="25">
        <f t="shared" si="10"/>
        <v>38744.94284</v>
      </c>
    </row>
    <row r="72" spans="1:17" ht="12.75">
      <c r="A72" s="42" t="s">
        <v>91</v>
      </c>
      <c r="B72" s="40" t="s">
        <v>46</v>
      </c>
      <c r="C72" s="29">
        <v>55628.28975</v>
      </c>
      <c r="D72" s="29">
        <v>0.0005</v>
      </c>
      <c r="E72" s="1">
        <f t="shared" si="8"/>
        <v>12931.020384153982</v>
      </c>
      <c r="F72" s="1">
        <f t="shared" si="9"/>
        <v>12931</v>
      </c>
      <c r="G72" s="1">
        <f t="shared" si="7"/>
        <v>0.03690600000118138</v>
      </c>
      <c r="K72" s="1">
        <f t="shared" si="13"/>
        <v>0.03690600000118138</v>
      </c>
      <c r="O72" s="1">
        <f t="shared" si="11"/>
        <v>0.03348003865993067</v>
      </c>
      <c r="Q72" s="25">
        <f t="shared" si="10"/>
        <v>40609.78975</v>
      </c>
    </row>
    <row r="73" spans="1:17" ht="12.75">
      <c r="A73" s="42" t="s">
        <v>91</v>
      </c>
      <c r="B73" s="40" t="s">
        <v>46</v>
      </c>
      <c r="C73" s="29">
        <v>55628.29125</v>
      </c>
      <c r="D73" s="29">
        <v>0.0008</v>
      </c>
      <c r="E73" s="1">
        <f t="shared" si="8"/>
        <v>12931.021212643413</v>
      </c>
      <c r="F73" s="1">
        <f t="shared" si="9"/>
        <v>12931</v>
      </c>
      <c r="G73" s="1">
        <f t="shared" si="7"/>
        <v>0.038405999999667984</v>
      </c>
      <c r="K73" s="1">
        <f>+G73</f>
        <v>0.038405999999667984</v>
      </c>
      <c r="O73" s="1">
        <f t="shared" si="11"/>
        <v>0.03348003865993067</v>
      </c>
      <c r="Q73" s="25">
        <f t="shared" si="10"/>
        <v>40609.79125</v>
      </c>
    </row>
    <row r="74" spans="1:17" ht="12.75">
      <c r="A74" s="26" t="s">
        <v>92</v>
      </c>
      <c r="B74" s="27" t="s">
        <v>46</v>
      </c>
      <c r="C74" s="28">
        <v>51158.083</v>
      </c>
      <c r="D74" s="24"/>
      <c r="E74" s="1">
        <f t="shared" si="8"/>
        <v>10462.007683963317</v>
      </c>
      <c r="F74" s="1">
        <f t="shared" si="9"/>
        <v>10462</v>
      </c>
      <c r="G74" s="1">
        <f t="shared" si="7"/>
        <v>0.013911999994888902</v>
      </c>
      <c r="K74" s="1">
        <f t="shared" si="13"/>
        <v>0.013911999994888902</v>
      </c>
      <c r="O74" s="1">
        <f t="shared" si="11"/>
        <v>0.024052314463874278</v>
      </c>
      <c r="Q74" s="25">
        <f t="shared" si="10"/>
        <v>36139.583</v>
      </c>
    </row>
    <row r="75" spans="1:17" ht="12.75">
      <c r="A75" s="26" t="s">
        <v>93</v>
      </c>
      <c r="B75" s="27" t="s">
        <v>46</v>
      </c>
      <c r="C75" s="28">
        <v>54503.9468</v>
      </c>
      <c r="D75" s="24"/>
      <c r="E75" s="1">
        <f t="shared" si="8"/>
        <v>12310.016216299811</v>
      </c>
      <c r="F75" s="1">
        <f t="shared" si="9"/>
        <v>12310</v>
      </c>
      <c r="G75" s="1">
        <f t="shared" si="7"/>
        <v>0.02936000000045169</v>
      </c>
      <c r="K75" s="1">
        <f t="shared" si="13"/>
        <v>0.02936000000045169</v>
      </c>
      <c r="O75" s="1">
        <f t="shared" si="11"/>
        <v>0.03110878846724091</v>
      </c>
      <c r="Q75" s="25">
        <f t="shared" si="10"/>
        <v>39485.4468</v>
      </c>
    </row>
    <row r="76" spans="1:17" ht="12.75">
      <c r="A76" s="26" t="s">
        <v>94</v>
      </c>
      <c r="B76" s="27" t="s">
        <v>46</v>
      </c>
      <c r="C76" s="28">
        <v>56299.9712</v>
      </c>
      <c r="D76" s="24"/>
      <c r="E76" s="1">
        <f t="shared" si="8"/>
        <v>13302.007706056369</v>
      </c>
      <c r="F76" s="1">
        <f t="shared" si="9"/>
        <v>13302</v>
      </c>
      <c r="G76" s="1">
        <f t="shared" si="7"/>
        <v>0.013952000001154374</v>
      </c>
      <c r="K76" s="1">
        <f t="shared" si="13"/>
        <v>0.013952000001154374</v>
      </c>
      <c r="O76" s="1">
        <f t="shared" si="11"/>
        <v>0.03489667927424291</v>
      </c>
      <c r="Q76" s="25">
        <f t="shared" si="10"/>
        <v>41281.4712</v>
      </c>
    </row>
    <row r="77" spans="1:17" ht="12.75">
      <c r="A77" s="26" t="s">
        <v>94</v>
      </c>
      <c r="B77" s="27" t="s">
        <v>46</v>
      </c>
      <c r="C77" s="28">
        <v>56299.9875</v>
      </c>
      <c r="D77" s="24"/>
      <c r="E77" s="1">
        <f t="shared" si="8"/>
        <v>13302.016708974863</v>
      </c>
      <c r="F77" s="1">
        <f t="shared" si="9"/>
        <v>13302</v>
      </c>
      <c r="G77" s="1">
        <f t="shared" si="7"/>
        <v>0.030252000004111324</v>
      </c>
      <c r="K77" s="1">
        <f t="shared" si="13"/>
        <v>0.030252000004111324</v>
      </c>
      <c r="O77" s="1">
        <f t="shared" si="11"/>
        <v>0.03489667927424291</v>
      </c>
      <c r="Q77" s="25">
        <f t="shared" si="10"/>
        <v>41281.4875</v>
      </c>
    </row>
    <row r="78" spans="1:17" ht="12.75">
      <c r="A78" s="26" t="s">
        <v>94</v>
      </c>
      <c r="B78" s="27" t="s">
        <v>46</v>
      </c>
      <c r="C78" s="28">
        <v>56299.9895</v>
      </c>
      <c r="D78" s="24"/>
      <c r="E78" s="1">
        <f t="shared" si="8"/>
        <v>13302.017813627439</v>
      </c>
      <c r="F78" s="1">
        <f t="shared" si="9"/>
        <v>13302</v>
      </c>
      <c r="G78" s="1">
        <f t="shared" si="7"/>
        <v>0.03225200000451878</v>
      </c>
      <c r="K78" s="1">
        <f>+G78</f>
        <v>0.03225200000451878</v>
      </c>
      <c r="O78" s="1">
        <f t="shared" si="11"/>
        <v>0.03489667927424291</v>
      </c>
      <c r="Q78" s="25">
        <f t="shared" si="10"/>
        <v>41281.4895</v>
      </c>
    </row>
    <row r="79" spans="1:17" ht="12.75">
      <c r="A79" s="46" t="s">
        <v>95</v>
      </c>
      <c r="B79" s="47" t="s">
        <v>46</v>
      </c>
      <c r="C79" s="48">
        <v>58179.32902000006</v>
      </c>
      <c r="D79" s="48">
        <v>0.0002</v>
      </c>
      <c r="E79" s="1">
        <f>+(C79-C$7)/C$8</f>
        <v>14340.026434336172</v>
      </c>
      <c r="F79" s="1">
        <f t="shared" si="9"/>
        <v>14340</v>
      </c>
      <c r="G79" s="1">
        <f>+C79-(C$7+F79*C$8)</f>
        <v>0.04786000006424729</v>
      </c>
      <c r="K79" s="1">
        <f>+G79</f>
        <v>0.04786000006424729</v>
      </c>
      <c r="O79" s="1">
        <f>+C$11+C$12*$F79</f>
        <v>0.038860218243666374</v>
      </c>
      <c r="Q79" s="25">
        <f>+C79-15018.5</f>
        <v>43160.82902000006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28">
      <selection activeCell="A49" sqref="A49"/>
    </sheetView>
  </sheetViews>
  <sheetFormatPr defaultColWidth="9.140625" defaultRowHeight="12.75"/>
  <cols>
    <col min="1" max="1" width="19.7109375" style="49" customWidth="1"/>
    <col min="2" max="2" width="4.421875" style="0" customWidth="1"/>
    <col min="3" max="3" width="12.7109375" style="49" customWidth="1"/>
    <col min="4" max="4" width="5.421875" style="0" customWidth="1"/>
    <col min="5" max="5" width="14.8515625" style="0" customWidth="1"/>
    <col min="7" max="7" width="12.00390625" style="0" customWidth="1"/>
    <col min="8" max="8" width="14.140625" style="49" customWidth="1"/>
    <col min="9" max="9" width="22.57421875" style="0" customWidth="1"/>
    <col min="10" max="10" width="25.140625" style="0" customWidth="1"/>
    <col min="11" max="11" width="15.7109375" style="0" customWidth="1"/>
    <col min="12" max="12" width="14.140625" style="0" customWidth="1"/>
    <col min="13" max="13" width="9.57421875" style="0" customWidth="1"/>
    <col min="14" max="14" width="14.140625" style="0" customWidth="1"/>
    <col min="15" max="15" width="23.421875" style="0" customWidth="1"/>
    <col min="16" max="16" width="16.57421875" style="0" customWidth="1"/>
    <col min="17" max="17" width="41.00390625" style="0" customWidth="1"/>
  </cols>
  <sheetData>
    <row r="1" spans="1:10" ht="15.75">
      <c r="A1" s="50" t="s">
        <v>96</v>
      </c>
      <c r="I1" s="51" t="s">
        <v>97</v>
      </c>
      <c r="J1" s="52" t="s">
        <v>36</v>
      </c>
    </row>
    <row r="2" spans="9:10" ht="12.75">
      <c r="I2" s="53" t="s">
        <v>98</v>
      </c>
      <c r="J2" s="54" t="s">
        <v>35</v>
      </c>
    </row>
    <row r="3" spans="1:10" ht="12.75">
      <c r="A3" s="55" t="s">
        <v>99</v>
      </c>
      <c r="I3" s="53" t="s">
        <v>100</v>
      </c>
      <c r="J3" s="54" t="s">
        <v>33</v>
      </c>
    </row>
    <row r="4" spans="9:10" ht="12.75">
      <c r="I4" s="53" t="s">
        <v>101</v>
      </c>
      <c r="J4" s="54" t="s">
        <v>33</v>
      </c>
    </row>
    <row r="5" spans="9:10" ht="12.75">
      <c r="I5" s="56" t="s">
        <v>102</v>
      </c>
      <c r="J5" s="57" t="s">
        <v>34</v>
      </c>
    </row>
    <row r="11" spans="1:16" ht="12.75" customHeight="1">
      <c r="A11" s="49" t="str">
        <f aca="true" t="shared" si="0" ref="A11:A42">P11</f>
        <v> SAC 9.93 </v>
      </c>
      <c r="B11" s="15" t="str">
        <f aca="true" t="shared" si="1" ref="B11:B42">IF(H11=INT(H11),"I","II")</f>
        <v>I</v>
      </c>
      <c r="C11" s="49">
        <f aca="true" t="shared" si="2" ref="C11:C42">1*G11</f>
        <v>25890.4</v>
      </c>
      <c r="D11" t="str">
        <f aca="true" t="shared" si="3" ref="D11:D42">VLOOKUP(F11,I$1:J$5,2,FALSE)</f>
        <v>vis</v>
      </c>
      <c r="E11">
        <f>VLOOKUP(C11,A!C$21:E$971,3,FALSE)</f>
        <v>-3493.997870229832</v>
      </c>
      <c r="F11" s="15" t="s">
        <v>102</v>
      </c>
      <c r="G11" t="str">
        <f aca="true" t="shared" si="4" ref="G11:G42">MID(I11,3,LEN(I11)-3)</f>
        <v>25890.40</v>
      </c>
      <c r="H11" s="49">
        <f aca="true" t="shared" si="5" ref="H11:H42">1*K11</f>
        <v>-3494</v>
      </c>
      <c r="I11" s="58" t="s">
        <v>103</v>
      </c>
      <c r="J11" s="59" t="s">
        <v>104</v>
      </c>
      <c r="K11" s="58">
        <v>-3494</v>
      </c>
      <c r="L11" s="58" t="s">
        <v>105</v>
      </c>
      <c r="M11" s="59" t="s">
        <v>106</v>
      </c>
      <c r="N11" s="59"/>
      <c r="O11" s="60" t="s">
        <v>107</v>
      </c>
      <c r="P11" s="60" t="s">
        <v>108</v>
      </c>
    </row>
    <row r="12" spans="1:16" ht="12.75" customHeight="1">
      <c r="A12" s="49" t="str">
        <f t="shared" si="0"/>
        <v> AJ 53.14 </v>
      </c>
      <c r="B12" s="15" t="str">
        <f t="shared" si="1"/>
        <v>I</v>
      </c>
      <c r="C12" s="49">
        <f t="shared" si="2"/>
        <v>30693.727</v>
      </c>
      <c r="D12" t="str">
        <f t="shared" si="3"/>
        <v>vis</v>
      </c>
      <c r="E12">
        <f>VLOOKUP(C12,A!C$21:E$971,3,FALSE)</f>
        <v>-840.9940989459402</v>
      </c>
      <c r="F12" s="15" t="s">
        <v>102</v>
      </c>
      <c r="G12" t="str">
        <f t="shared" si="4"/>
        <v>30693.727</v>
      </c>
      <c r="H12" s="49">
        <f t="shared" si="5"/>
        <v>-841</v>
      </c>
      <c r="I12" s="58" t="s">
        <v>109</v>
      </c>
      <c r="J12" s="59" t="s">
        <v>110</v>
      </c>
      <c r="K12" s="58">
        <v>-841</v>
      </c>
      <c r="L12" s="58" t="s">
        <v>111</v>
      </c>
      <c r="M12" s="59" t="s">
        <v>112</v>
      </c>
      <c r="N12" s="59"/>
      <c r="O12" s="60" t="s">
        <v>113</v>
      </c>
      <c r="P12" s="60" t="s">
        <v>114</v>
      </c>
    </row>
    <row r="13" spans="1:16" ht="12.75" customHeight="1">
      <c r="A13" s="49" t="str">
        <f t="shared" si="0"/>
        <v> AJ 53.14 </v>
      </c>
      <c r="B13" s="15" t="str">
        <f t="shared" si="1"/>
        <v>I</v>
      </c>
      <c r="C13" s="49">
        <f t="shared" si="2"/>
        <v>31497.6</v>
      </c>
      <c r="D13" t="str">
        <f t="shared" si="3"/>
        <v>vis</v>
      </c>
      <c r="E13">
        <f>VLOOKUP(C13,A!C$21:E$971,3,FALSE)</f>
        <v>-396.9939089456974</v>
      </c>
      <c r="F13" s="15" t="s">
        <v>102</v>
      </c>
      <c r="G13" t="str">
        <f t="shared" si="4"/>
        <v>31497.600</v>
      </c>
      <c r="H13" s="49">
        <f t="shared" si="5"/>
        <v>-397</v>
      </c>
      <c r="I13" s="58" t="s">
        <v>115</v>
      </c>
      <c r="J13" s="59" t="s">
        <v>116</v>
      </c>
      <c r="K13" s="58">
        <v>-397</v>
      </c>
      <c r="L13" s="58" t="s">
        <v>111</v>
      </c>
      <c r="M13" s="59" t="s">
        <v>112</v>
      </c>
      <c r="N13" s="59"/>
      <c r="O13" s="60" t="s">
        <v>113</v>
      </c>
      <c r="P13" s="60" t="s">
        <v>114</v>
      </c>
    </row>
    <row r="14" spans="1:16" ht="12.75" customHeight="1">
      <c r="A14" s="49" t="str">
        <f t="shared" si="0"/>
        <v> AJ 53.14 </v>
      </c>
      <c r="B14" s="15" t="str">
        <f t="shared" si="1"/>
        <v>I</v>
      </c>
      <c r="C14" s="49">
        <f t="shared" si="2"/>
        <v>31772.793</v>
      </c>
      <c r="D14" t="str">
        <f t="shared" si="3"/>
        <v>vis</v>
      </c>
      <c r="E14">
        <f>VLOOKUP(C14,A!C$21:E$971,3,FALSE)</f>
        <v>-244.99758081085744</v>
      </c>
      <c r="F14" s="15" t="s">
        <v>102</v>
      </c>
      <c r="G14" t="str">
        <f t="shared" si="4"/>
        <v>31772.793</v>
      </c>
      <c r="H14" s="49">
        <f t="shared" si="5"/>
        <v>-245</v>
      </c>
      <c r="I14" s="58" t="s">
        <v>117</v>
      </c>
      <c r="J14" s="59" t="s">
        <v>118</v>
      </c>
      <c r="K14" s="58">
        <v>-245</v>
      </c>
      <c r="L14" s="58" t="s">
        <v>119</v>
      </c>
      <c r="M14" s="59" t="s">
        <v>112</v>
      </c>
      <c r="N14" s="59"/>
      <c r="O14" s="60" t="s">
        <v>113</v>
      </c>
      <c r="P14" s="60" t="s">
        <v>114</v>
      </c>
    </row>
    <row r="15" spans="1:16" ht="12.75" customHeight="1">
      <c r="A15" s="49" t="str">
        <f t="shared" si="0"/>
        <v> SAC 19.75 </v>
      </c>
      <c r="B15" s="15" t="str">
        <f t="shared" si="1"/>
        <v>I</v>
      </c>
      <c r="C15" s="49">
        <f t="shared" si="2"/>
        <v>32216.367</v>
      </c>
      <c r="D15" t="str">
        <f t="shared" si="3"/>
        <v>vis</v>
      </c>
      <c r="E15">
        <f>VLOOKUP(C15,A!C$21:E$971,3,FALSE)</f>
        <v>0</v>
      </c>
      <c r="F15" s="15" t="s">
        <v>102</v>
      </c>
      <c r="G15" t="str">
        <f t="shared" si="4"/>
        <v>32216.367</v>
      </c>
      <c r="H15" s="49">
        <f t="shared" si="5"/>
        <v>0</v>
      </c>
      <c r="I15" s="58" t="s">
        <v>120</v>
      </c>
      <c r="J15" s="59" t="s">
        <v>121</v>
      </c>
      <c r="K15" s="58">
        <v>0</v>
      </c>
      <c r="L15" s="58" t="s">
        <v>122</v>
      </c>
      <c r="M15" s="59" t="s">
        <v>106</v>
      </c>
      <c r="N15" s="59"/>
      <c r="O15" s="60" t="s">
        <v>107</v>
      </c>
      <c r="P15" s="60" t="s">
        <v>123</v>
      </c>
    </row>
    <row r="16" spans="1:16" ht="12.75" customHeight="1">
      <c r="A16" s="49" t="str">
        <f t="shared" si="0"/>
        <v>IBVS 46 </v>
      </c>
      <c r="B16" s="15" t="str">
        <f t="shared" si="1"/>
        <v>I</v>
      </c>
      <c r="C16" s="49">
        <f t="shared" si="2"/>
        <v>38446.39</v>
      </c>
      <c r="D16" t="str">
        <f t="shared" si="3"/>
        <v>vis</v>
      </c>
      <c r="E16">
        <f>VLOOKUP(C16,A!C$21:E$971,3,FALSE)</f>
        <v>3441.005476867471</v>
      </c>
      <c r="F16" s="15" t="s">
        <v>102</v>
      </c>
      <c r="G16" t="str">
        <f t="shared" si="4"/>
        <v>38446.39</v>
      </c>
      <c r="H16" s="49">
        <f t="shared" si="5"/>
        <v>3441</v>
      </c>
      <c r="I16" s="58" t="s">
        <v>124</v>
      </c>
      <c r="J16" s="59" t="s">
        <v>125</v>
      </c>
      <c r="K16" s="58">
        <v>3441</v>
      </c>
      <c r="L16" s="58" t="s">
        <v>126</v>
      </c>
      <c r="M16" s="59" t="s">
        <v>106</v>
      </c>
      <c r="N16" s="59"/>
      <c r="O16" s="60" t="s">
        <v>107</v>
      </c>
      <c r="P16" s="61" t="s">
        <v>127</v>
      </c>
    </row>
    <row r="17" spans="1:16" ht="12.75" customHeight="1">
      <c r="A17" s="49" t="str">
        <f t="shared" si="0"/>
        <v> AN 301.327 </v>
      </c>
      <c r="B17" s="15" t="str">
        <f t="shared" si="1"/>
        <v>I</v>
      </c>
      <c r="C17" s="49">
        <f t="shared" si="2"/>
        <v>42833.289</v>
      </c>
      <c r="D17" t="str">
        <f t="shared" si="3"/>
        <v>vis</v>
      </c>
      <c r="E17">
        <f>VLOOKUP(C17,A!C$21:E$971,3,FALSE)</f>
        <v>5864.00511675073</v>
      </c>
      <c r="F17" s="15" t="s">
        <v>102</v>
      </c>
      <c r="G17" t="str">
        <f t="shared" si="4"/>
        <v>42833.289</v>
      </c>
      <c r="H17" s="49">
        <f t="shared" si="5"/>
        <v>5864</v>
      </c>
      <c r="I17" s="58" t="s">
        <v>128</v>
      </c>
      <c r="J17" s="59" t="s">
        <v>129</v>
      </c>
      <c r="K17" s="58">
        <v>5864</v>
      </c>
      <c r="L17" s="58" t="s">
        <v>130</v>
      </c>
      <c r="M17" s="59" t="s">
        <v>106</v>
      </c>
      <c r="N17" s="59"/>
      <c r="O17" s="60" t="s">
        <v>131</v>
      </c>
      <c r="P17" s="60" t="s">
        <v>132</v>
      </c>
    </row>
    <row r="18" spans="1:16" ht="12.75" customHeight="1">
      <c r="A18" s="49" t="str">
        <f t="shared" si="0"/>
        <v>BAVM 39 </v>
      </c>
      <c r="B18" s="15" t="str">
        <f t="shared" si="1"/>
        <v>I</v>
      </c>
      <c r="C18" s="49">
        <f t="shared" si="2"/>
        <v>46110.347</v>
      </c>
      <c r="D18" t="str">
        <f t="shared" si="3"/>
        <v>vis</v>
      </c>
      <c r="E18">
        <f>VLOOKUP(C18,A!C$21:E$971,3,FALSE)</f>
        <v>7674.010396990045</v>
      </c>
      <c r="F18" s="15" t="s">
        <v>102</v>
      </c>
      <c r="G18" t="str">
        <f t="shared" si="4"/>
        <v>46110.347</v>
      </c>
      <c r="H18" s="49">
        <f t="shared" si="5"/>
        <v>7674</v>
      </c>
      <c r="I18" s="58" t="s">
        <v>133</v>
      </c>
      <c r="J18" s="59" t="s">
        <v>134</v>
      </c>
      <c r="K18" s="58">
        <v>7674</v>
      </c>
      <c r="L18" s="58" t="s">
        <v>135</v>
      </c>
      <c r="M18" s="59" t="s">
        <v>106</v>
      </c>
      <c r="N18" s="59"/>
      <c r="O18" s="60" t="s">
        <v>136</v>
      </c>
      <c r="P18" s="61" t="s">
        <v>137</v>
      </c>
    </row>
    <row r="19" spans="1:16" ht="12.75" customHeight="1">
      <c r="A19" s="49" t="str">
        <f t="shared" si="0"/>
        <v> BBS 87 </v>
      </c>
      <c r="B19" s="15" t="str">
        <f t="shared" si="1"/>
        <v>I</v>
      </c>
      <c r="C19" s="49">
        <f t="shared" si="2"/>
        <v>47209.345</v>
      </c>
      <c r="D19" t="str">
        <f t="shared" si="3"/>
        <v>vis</v>
      </c>
      <c r="E19">
        <f>VLOOKUP(C19,A!C$21:E$971,3,FALSE)</f>
        <v>8281.015882694735</v>
      </c>
      <c r="F19" s="15" t="s">
        <v>102</v>
      </c>
      <c r="G19" t="str">
        <f t="shared" si="4"/>
        <v>47209.345</v>
      </c>
      <c r="H19" s="49">
        <f t="shared" si="5"/>
        <v>8281</v>
      </c>
      <c r="I19" s="58" t="s">
        <v>138</v>
      </c>
      <c r="J19" s="59" t="s">
        <v>139</v>
      </c>
      <c r="K19" s="58">
        <v>8281</v>
      </c>
      <c r="L19" s="58" t="s">
        <v>140</v>
      </c>
      <c r="M19" s="59" t="s">
        <v>106</v>
      </c>
      <c r="N19" s="59"/>
      <c r="O19" s="60" t="s">
        <v>141</v>
      </c>
      <c r="P19" s="60" t="s">
        <v>142</v>
      </c>
    </row>
    <row r="20" spans="1:16" ht="12.75" customHeight="1">
      <c r="A20" s="49" t="str">
        <f t="shared" si="0"/>
        <v> BBS 91 </v>
      </c>
      <c r="B20" s="15" t="str">
        <f t="shared" si="1"/>
        <v>I</v>
      </c>
      <c r="C20" s="49">
        <f t="shared" si="2"/>
        <v>47553.328</v>
      </c>
      <c r="D20" t="str">
        <f t="shared" si="3"/>
        <v>vis</v>
      </c>
      <c r="E20">
        <f>VLOOKUP(C20,A!C$21:E$971,3,FALSE)</f>
        <v>8471.006736171408</v>
      </c>
      <c r="F20" s="15" t="s">
        <v>102</v>
      </c>
      <c r="G20" t="str">
        <f t="shared" si="4"/>
        <v>47553.328</v>
      </c>
      <c r="H20" s="49">
        <f t="shared" si="5"/>
        <v>8471</v>
      </c>
      <c r="I20" s="58" t="s">
        <v>143</v>
      </c>
      <c r="J20" s="59" t="s">
        <v>144</v>
      </c>
      <c r="K20" s="58">
        <v>8471</v>
      </c>
      <c r="L20" s="58" t="s">
        <v>145</v>
      </c>
      <c r="M20" s="59" t="s">
        <v>106</v>
      </c>
      <c r="N20" s="59"/>
      <c r="O20" s="60" t="s">
        <v>141</v>
      </c>
      <c r="P20" s="60" t="s">
        <v>146</v>
      </c>
    </row>
    <row r="21" spans="1:16" ht="12.75" customHeight="1">
      <c r="A21" s="49" t="str">
        <f t="shared" si="0"/>
        <v>BAVM 52 </v>
      </c>
      <c r="B21" s="15" t="str">
        <f t="shared" si="1"/>
        <v>I</v>
      </c>
      <c r="C21" s="49">
        <f t="shared" si="2"/>
        <v>47553.331</v>
      </c>
      <c r="D21" t="str">
        <f t="shared" si="3"/>
        <v>vis</v>
      </c>
      <c r="E21">
        <f>VLOOKUP(C21,A!C$21:E$971,3,FALSE)</f>
        <v>8471.00839315027</v>
      </c>
      <c r="F21" s="15" t="s">
        <v>102</v>
      </c>
      <c r="G21" t="str">
        <f t="shared" si="4"/>
        <v>47553.331</v>
      </c>
      <c r="H21" s="49">
        <f t="shared" si="5"/>
        <v>8471</v>
      </c>
      <c r="I21" s="58" t="s">
        <v>147</v>
      </c>
      <c r="J21" s="59" t="s">
        <v>148</v>
      </c>
      <c r="K21" s="58">
        <v>8471</v>
      </c>
      <c r="L21" s="58" t="s">
        <v>149</v>
      </c>
      <c r="M21" s="59" t="s">
        <v>112</v>
      </c>
      <c r="N21" s="59"/>
      <c r="O21" s="60" t="s">
        <v>150</v>
      </c>
      <c r="P21" s="61" t="s">
        <v>151</v>
      </c>
    </row>
    <row r="22" spans="1:16" ht="12.75" customHeight="1">
      <c r="A22" s="49" t="str">
        <f t="shared" si="0"/>
        <v>BAVM 52 </v>
      </c>
      <c r="B22" s="15" t="str">
        <f t="shared" si="1"/>
        <v>I</v>
      </c>
      <c r="C22" s="49">
        <f t="shared" si="2"/>
        <v>47562.389</v>
      </c>
      <c r="D22" t="str">
        <f t="shared" si="3"/>
        <v>vis</v>
      </c>
      <c r="E22">
        <f>VLOOKUP(C22,A!C$21:E$971,3,FALSE)</f>
        <v>8476.011364665701</v>
      </c>
      <c r="F22" s="15" t="s">
        <v>102</v>
      </c>
      <c r="G22" t="str">
        <f t="shared" si="4"/>
        <v>47562.389</v>
      </c>
      <c r="H22" s="49">
        <f t="shared" si="5"/>
        <v>8476</v>
      </c>
      <c r="I22" s="58" t="s">
        <v>152</v>
      </c>
      <c r="J22" s="59" t="s">
        <v>153</v>
      </c>
      <c r="K22" s="58">
        <v>8476</v>
      </c>
      <c r="L22" s="58" t="s">
        <v>154</v>
      </c>
      <c r="M22" s="59" t="s">
        <v>112</v>
      </c>
      <c r="N22" s="59"/>
      <c r="O22" s="60" t="s">
        <v>150</v>
      </c>
      <c r="P22" s="61" t="s">
        <v>151</v>
      </c>
    </row>
    <row r="23" spans="1:16" ht="12.75" customHeight="1">
      <c r="A23" s="49" t="str">
        <f t="shared" si="0"/>
        <v> BBS 94 </v>
      </c>
      <c r="B23" s="15" t="str">
        <f t="shared" si="1"/>
        <v>I</v>
      </c>
      <c r="C23" s="49">
        <f t="shared" si="2"/>
        <v>47924.472</v>
      </c>
      <c r="D23" t="str">
        <f t="shared" si="3"/>
        <v>vis</v>
      </c>
      <c r="E23">
        <f>VLOOKUP(C23,A!C$21:E$971,3,FALSE)</f>
        <v>8675.999323952625</v>
      </c>
      <c r="F23" s="15" t="s">
        <v>102</v>
      </c>
      <c r="G23" t="str">
        <f t="shared" si="4"/>
        <v>47924.472</v>
      </c>
      <c r="H23" s="49">
        <f t="shared" si="5"/>
        <v>8676</v>
      </c>
      <c r="I23" s="58" t="s">
        <v>155</v>
      </c>
      <c r="J23" s="59" t="s">
        <v>156</v>
      </c>
      <c r="K23" s="58">
        <v>8676</v>
      </c>
      <c r="L23" s="58" t="s">
        <v>157</v>
      </c>
      <c r="M23" s="59" t="s">
        <v>106</v>
      </c>
      <c r="N23" s="59"/>
      <c r="O23" s="60" t="s">
        <v>141</v>
      </c>
      <c r="P23" s="60" t="s">
        <v>158</v>
      </c>
    </row>
    <row r="24" spans="1:16" ht="12.75" customHeight="1">
      <c r="A24" s="49" t="str">
        <f t="shared" si="0"/>
        <v> BBS 97 </v>
      </c>
      <c r="B24" s="15" t="str">
        <f t="shared" si="1"/>
        <v>I</v>
      </c>
      <c r="C24" s="49">
        <f t="shared" si="2"/>
        <v>48308.317</v>
      </c>
      <c r="D24" t="str">
        <f t="shared" si="3"/>
        <v>vis</v>
      </c>
      <c r="E24">
        <f>VLOOKUP(C24,A!C$21:E$971,3,FALSE)</f>
        <v>8888.007007915943</v>
      </c>
      <c r="F24" s="15" t="s">
        <v>102</v>
      </c>
      <c r="G24" t="str">
        <f t="shared" si="4"/>
        <v>48308.317</v>
      </c>
      <c r="H24" s="49">
        <f t="shared" si="5"/>
        <v>8888</v>
      </c>
      <c r="I24" s="58" t="s">
        <v>159</v>
      </c>
      <c r="J24" s="59" t="s">
        <v>160</v>
      </c>
      <c r="K24" s="58">
        <v>8888</v>
      </c>
      <c r="L24" s="58" t="s">
        <v>161</v>
      </c>
      <c r="M24" s="59" t="s">
        <v>106</v>
      </c>
      <c r="N24" s="59"/>
      <c r="O24" s="60" t="s">
        <v>162</v>
      </c>
      <c r="P24" s="60" t="s">
        <v>163</v>
      </c>
    </row>
    <row r="25" spans="1:16" ht="12.75" customHeight="1">
      <c r="A25" s="49" t="str">
        <f t="shared" si="0"/>
        <v> BBS 100 </v>
      </c>
      <c r="B25" s="15" t="str">
        <f t="shared" si="1"/>
        <v>I</v>
      </c>
      <c r="C25" s="49">
        <f t="shared" si="2"/>
        <v>48652.33</v>
      </c>
      <c r="D25" t="str">
        <f t="shared" si="3"/>
        <v>vis</v>
      </c>
      <c r="E25">
        <f>VLOOKUP(C25,A!C$21:E$971,3,FALSE)</f>
        <v>9078.014431181251</v>
      </c>
      <c r="F25" s="15" t="s">
        <v>102</v>
      </c>
      <c r="G25" t="str">
        <f t="shared" si="4"/>
        <v>48652.330</v>
      </c>
      <c r="H25" s="49">
        <f t="shared" si="5"/>
        <v>9078</v>
      </c>
      <c r="I25" s="58" t="s">
        <v>164</v>
      </c>
      <c r="J25" s="59" t="s">
        <v>165</v>
      </c>
      <c r="K25" s="58">
        <v>9078</v>
      </c>
      <c r="L25" s="58" t="s">
        <v>166</v>
      </c>
      <c r="M25" s="59" t="s">
        <v>106</v>
      </c>
      <c r="N25" s="59"/>
      <c r="O25" s="60" t="s">
        <v>141</v>
      </c>
      <c r="P25" s="60" t="s">
        <v>167</v>
      </c>
    </row>
    <row r="26" spans="1:16" ht="12.75" customHeight="1">
      <c r="A26" s="49" t="str">
        <f t="shared" si="0"/>
        <v>IBVS 3925 </v>
      </c>
      <c r="B26" s="15" t="str">
        <f t="shared" si="1"/>
        <v>I</v>
      </c>
      <c r="C26" s="49">
        <f t="shared" si="2"/>
        <v>48916.6576</v>
      </c>
      <c r="D26" t="str">
        <f t="shared" si="3"/>
        <v>vis</v>
      </c>
      <c r="E26">
        <f>VLOOKUP(C26,A!C$21:E$971,3,FALSE)</f>
        <v>9224.009513267982</v>
      </c>
      <c r="F26" s="15" t="s">
        <v>102</v>
      </c>
      <c r="G26" t="str">
        <f t="shared" si="4"/>
        <v>48916.6576</v>
      </c>
      <c r="H26" s="49">
        <f t="shared" si="5"/>
        <v>9224</v>
      </c>
      <c r="I26" s="58" t="s">
        <v>168</v>
      </c>
      <c r="J26" s="59" t="s">
        <v>169</v>
      </c>
      <c r="K26" s="58">
        <v>9224</v>
      </c>
      <c r="L26" s="58" t="s">
        <v>170</v>
      </c>
      <c r="M26" s="59" t="s">
        <v>171</v>
      </c>
      <c r="N26" s="59" t="s">
        <v>172</v>
      </c>
      <c r="O26" s="60" t="s">
        <v>173</v>
      </c>
      <c r="P26" s="61" t="s">
        <v>174</v>
      </c>
    </row>
    <row r="27" spans="1:16" ht="12.75" customHeight="1">
      <c r="A27" s="49" t="str">
        <f t="shared" si="0"/>
        <v>BAVM 62 </v>
      </c>
      <c r="B27" s="15" t="str">
        <f t="shared" si="1"/>
        <v>I</v>
      </c>
      <c r="C27" s="49">
        <f t="shared" si="2"/>
        <v>49005.3723</v>
      </c>
      <c r="D27" t="str">
        <f t="shared" si="3"/>
        <v>vis</v>
      </c>
      <c r="E27">
        <f>VLOOKUP(C27,A!C$21:E$971,3,FALSE)</f>
        <v>9273.008974197528</v>
      </c>
      <c r="F27" s="15" t="s">
        <v>102</v>
      </c>
      <c r="G27" t="str">
        <f t="shared" si="4"/>
        <v>49005.3723</v>
      </c>
      <c r="H27" s="49">
        <f t="shared" si="5"/>
        <v>9273</v>
      </c>
      <c r="I27" s="58" t="s">
        <v>175</v>
      </c>
      <c r="J27" s="59" t="s">
        <v>176</v>
      </c>
      <c r="K27" s="58">
        <v>9273</v>
      </c>
      <c r="L27" s="58" t="s">
        <v>177</v>
      </c>
      <c r="M27" s="59" t="s">
        <v>171</v>
      </c>
      <c r="N27" s="59" t="s">
        <v>178</v>
      </c>
      <c r="O27" s="60" t="s">
        <v>179</v>
      </c>
      <c r="P27" s="61" t="s">
        <v>180</v>
      </c>
    </row>
    <row r="28" spans="1:16" ht="12.75" customHeight="1">
      <c r="A28" s="49" t="str">
        <f t="shared" si="0"/>
        <v> BBS 103 </v>
      </c>
      <c r="B28" s="15" t="str">
        <f t="shared" si="1"/>
        <v>I</v>
      </c>
      <c r="C28" s="49">
        <f t="shared" si="2"/>
        <v>49005.38</v>
      </c>
      <c r="D28" t="str">
        <f t="shared" si="3"/>
        <v>vis</v>
      </c>
      <c r="E28">
        <f>VLOOKUP(C28,A!C$21:E$971,3,FALSE)</f>
        <v>9273.013227109941</v>
      </c>
      <c r="F28" s="15" t="s">
        <v>102</v>
      </c>
      <c r="G28" t="str">
        <f t="shared" si="4"/>
        <v>49005.380</v>
      </c>
      <c r="H28" s="49">
        <f t="shared" si="5"/>
        <v>9273</v>
      </c>
      <c r="I28" s="58" t="s">
        <v>181</v>
      </c>
      <c r="J28" s="59" t="s">
        <v>182</v>
      </c>
      <c r="K28" s="58">
        <v>9273</v>
      </c>
      <c r="L28" s="58" t="s">
        <v>183</v>
      </c>
      <c r="M28" s="59" t="s">
        <v>171</v>
      </c>
      <c r="N28" s="59" t="s">
        <v>172</v>
      </c>
      <c r="O28" s="60" t="s">
        <v>184</v>
      </c>
      <c r="P28" s="60" t="s">
        <v>185</v>
      </c>
    </row>
    <row r="29" spans="1:16" ht="12.75" customHeight="1">
      <c r="A29" s="49" t="str">
        <f t="shared" si="0"/>
        <v> BBS 103 </v>
      </c>
      <c r="B29" s="15" t="str">
        <f t="shared" si="1"/>
        <v>I</v>
      </c>
      <c r="C29" s="49">
        <f t="shared" si="2"/>
        <v>49005.389</v>
      </c>
      <c r="D29" t="str">
        <f t="shared" si="3"/>
        <v>vis</v>
      </c>
      <c r="E29">
        <f>VLOOKUP(C29,A!C$21:E$971,3,FALSE)</f>
        <v>9273.018198046535</v>
      </c>
      <c r="F29" s="15" t="s">
        <v>102</v>
      </c>
      <c r="G29" t="str">
        <f t="shared" si="4"/>
        <v>49005.389</v>
      </c>
      <c r="H29" s="49">
        <f t="shared" si="5"/>
        <v>9273</v>
      </c>
      <c r="I29" s="58" t="s">
        <v>186</v>
      </c>
      <c r="J29" s="59" t="s">
        <v>187</v>
      </c>
      <c r="K29" s="58">
        <v>9273</v>
      </c>
      <c r="L29" s="58" t="s">
        <v>188</v>
      </c>
      <c r="M29" s="59" t="s">
        <v>106</v>
      </c>
      <c r="N29" s="59"/>
      <c r="O29" s="60" t="s">
        <v>141</v>
      </c>
      <c r="P29" s="60" t="s">
        <v>185</v>
      </c>
    </row>
    <row r="30" spans="1:16" ht="12.75" customHeight="1">
      <c r="A30" s="49" t="str">
        <f t="shared" si="0"/>
        <v> BBS 106 </v>
      </c>
      <c r="B30" s="15" t="str">
        <f t="shared" si="1"/>
        <v>I</v>
      </c>
      <c r="C30" s="49">
        <f t="shared" si="2"/>
        <v>49416.371</v>
      </c>
      <c r="D30" t="str">
        <f t="shared" si="3"/>
        <v>vis</v>
      </c>
      <c r="E30">
        <f>VLOOKUP(C30,A!C$21:E$971,3,FALSE)</f>
        <v>9500.014360483485</v>
      </c>
      <c r="F30" s="15" t="s">
        <v>102</v>
      </c>
      <c r="G30" t="str">
        <f t="shared" si="4"/>
        <v>49416.371</v>
      </c>
      <c r="H30" s="49">
        <f t="shared" si="5"/>
        <v>9500</v>
      </c>
      <c r="I30" s="58" t="s">
        <v>189</v>
      </c>
      <c r="J30" s="59" t="s">
        <v>190</v>
      </c>
      <c r="K30" s="58">
        <v>9500</v>
      </c>
      <c r="L30" s="58" t="s">
        <v>166</v>
      </c>
      <c r="M30" s="59" t="s">
        <v>106</v>
      </c>
      <c r="N30" s="59"/>
      <c r="O30" s="60" t="s">
        <v>141</v>
      </c>
      <c r="P30" s="60" t="s">
        <v>191</v>
      </c>
    </row>
    <row r="31" spans="1:16" ht="12.75" customHeight="1">
      <c r="A31" s="49" t="str">
        <f t="shared" si="0"/>
        <v> BBS 108 </v>
      </c>
      <c r="B31" s="15" t="str">
        <f t="shared" si="1"/>
        <v>I</v>
      </c>
      <c r="C31" s="49">
        <f t="shared" si="2"/>
        <v>49789.334</v>
      </c>
      <c r="D31" t="str">
        <f t="shared" si="3"/>
        <v>vis</v>
      </c>
      <c r="E31">
        <f>VLOOKUP(C31,A!C$21:E$971,3,FALSE)</f>
        <v>9706.011629782319</v>
      </c>
      <c r="F31" s="15" t="s">
        <v>102</v>
      </c>
      <c r="G31" t="str">
        <f t="shared" si="4"/>
        <v>49789.334</v>
      </c>
      <c r="H31" s="49">
        <f t="shared" si="5"/>
        <v>9706</v>
      </c>
      <c r="I31" s="58" t="s">
        <v>192</v>
      </c>
      <c r="J31" s="59" t="s">
        <v>193</v>
      </c>
      <c r="K31" s="58">
        <v>9706</v>
      </c>
      <c r="L31" s="58" t="s">
        <v>154</v>
      </c>
      <c r="M31" s="59" t="s">
        <v>106</v>
      </c>
      <c r="N31" s="59"/>
      <c r="O31" s="60" t="s">
        <v>141</v>
      </c>
      <c r="P31" s="60" t="s">
        <v>194</v>
      </c>
    </row>
    <row r="32" spans="1:16" ht="12.75" customHeight="1">
      <c r="A32" s="49" t="str">
        <f t="shared" si="0"/>
        <v> BBS 114 </v>
      </c>
      <c r="B32" s="15" t="str">
        <f t="shared" si="1"/>
        <v>I</v>
      </c>
      <c r="C32" s="49">
        <f t="shared" si="2"/>
        <v>50486.382</v>
      </c>
      <c r="D32" t="str">
        <f t="shared" si="3"/>
        <v>vis</v>
      </c>
      <c r="E32">
        <f>VLOOKUP(C32,A!C$21:E$971,3,FALSE)</f>
        <v>10091.009564082</v>
      </c>
      <c r="F32" s="15" t="s">
        <v>102</v>
      </c>
      <c r="G32" t="str">
        <f t="shared" si="4"/>
        <v>50486.382</v>
      </c>
      <c r="H32" s="49">
        <f t="shared" si="5"/>
        <v>10091</v>
      </c>
      <c r="I32" s="58" t="s">
        <v>195</v>
      </c>
      <c r="J32" s="59" t="s">
        <v>196</v>
      </c>
      <c r="K32" s="58">
        <v>10091</v>
      </c>
      <c r="L32" s="58" t="s">
        <v>197</v>
      </c>
      <c r="M32" s="59" t="s">
        <v>106</v>
      </c>
      <c r="N32" s="59"/>
      <c r="O32" s="60" t="s">
        <v>141</v>
      </c>
      <c r="P32" s="60" t="s">
        <v>198</v>
      </c>
    </row>
    <row r="33" spans="1:16" ht="12.75" customHeight="1">
      <c r="A33" s="49" t="str">
        <f t="shared" si="0"/>
        <v> BBS 117 </v>
      </c>
      <c r="B33" s="15" t="str">
        <f t="shared" si="1"/>
        <v>I</v>
      </c>
      <c r="C33" s="49">
        <f t="shared" si="2"/>
        <v>50859.3486</v>
      </c>
      <c r="D33" t="str">
        <f t="shared" si="3"/>
        <v>vis</v>
      </c>
      <c r="E33">
        <f>VLOOKUP(C33,A!C$21:E$971,3,FALSE)</f>
        <v>10297.00882175547</v>
      </c>
      <c r="F33" s="15" t="s">
        <v>102</v>
      </c>
      <c r="G33" t="str">
        <f t="shared" si="4"/>
        <v>50859.3486</v>
      </c>
      <c r="H33" s="49">
        <f t="shared" si="5"/>
        <v>10297</v>
      </c>
      <c r="I33" s="58" t="s">
        <v>199</v>
      </c>
      <c r="J33" s="59" t="s">
        <v>200</v>
      </c>
      <c r="K33" s="58">
        <v>10297</v>
      </c>
      <c r="L33" s="58" t="s">
        <v>201</v>
      </c>
      <c r="M33" s="59" t="s">
        <v>171</v>
      </c>
      <c r="N33" s="59" t="s">
        <v>172</v>
      </c>
      <c r="O33" s="60" t="s">
        <v>202</v>
      </c>
      <c r="P33" s="60" t="s">
        <v>203</v>
      </c>
    </row>
    <row r="34" spans="1:16" ht="12.75" customHeight="1">
      <c r="A34" s="49" t="str">
        <f t="shared" si="0"/>
        <v> BBS 117 </v>
      </c>
      <c r="B34" s="15" t="str">
        <f t="shared" si="1"/>
        <v>I</v>
      </c>
      <c r="C34" s="49">
        <f t="shared" si="2"/>
        <v>50859.362</v>
      </c>
      <c r="D34" t="str">
        <f t="shared" si="3"/>
        <v>vis</v>
      </c>
      <c r="E34">
        <f>VLOOKUP(C34,A!C$21:E$971,3,FALSE)</f>
        <v>10297.016222927728</v>
      </c>
      <c r="F34" s="15" t="s">
        <v>102</v>
      </c>
      <c r="G34" t="str">
        <f t="shared" si="4"/>
        <v>50859.362</v>
      </c>
      <c r="H34" s="49">
        <f t="shared" si="5"/>
        <v>10297</v>
      </c>
      <c r="I34" s="58" t="s">
        <v>204</v>
      </c>
      <c r="J34" s="59" t="s">
        <v>205</v>
      </c>
      <c r="K34" s="58">
        <v>10297</v>
      </c>
      <c r="L34" s="58" t="s">
        <v>140</v>
      </c>
      <c r="M34" s="59" t="s">
        <v>106</v>
      </c>
      <c r="N34" s="59"/>
      <c r="O34" s="60" t="s">
        <v>141</v>
      </c>
      <c r="P34" s="60" t="s">
        <v>203</v>
      </c>
    </row>
    <row r="35" spans="1:16" ht="12.75" customHeight="1">
      <c r="A35" s="49" t="str">
        <f t="shared" si="0"/>
        <v>IBVS 5502 </v>
      </c>
      <c r="B35" s="15" t="str">
        <f t="shared" si="1"/>
        <v>I</v>
      </c>
      <c r="C35" s="49">
        <f t="shared" si="2"/>
        <v>52682.55</v>
      </c>
      <c r="D35" t="str">
        <f t="shared" si="3"/>
        <v>vis</v>
      </c>
      <c r="E35">
        <f>VLOOKUP(C35,A!C$21:E$971,3,FALSE)</f>
        <v>11304.01088303718</v>
      </c>
      <c r="F35" s="15" t="s">
        <v>102</v>
      </c>
      <c r="G35" t="str">
        <f t="shared" si="4"/>
        <v>52682.550</v>
      </c>
      <c r="H35" s="49">
        <f t="shared" si="5"/>
        <v>11304</v>
      </c>
      <c r="I35" s="58" t="s">
        <v>206</v>
      </c>
      <c r="J35" s="59" t="s">
        <v>207</v>
      </c>
      <c r="K35" s="58">
        <v>11304</v>
      </c>
      <c r="L35" s="58" t="s">
        <v>208</v>
      </c>
      <c r="M35" s="59" t="s">
        <v>171</v>
      </c>
      <c r="N35" s="59" t="s">
        <v>172</v>
      </c>
      <c r="O35" s="60" t="s">
        <v>209</v>
      </c>
      <c r="P35" s="61" t="s">
        <v>210</v>
      </c>
    </row>
    <row r="36" spans="1:16" ht="12.75" customHeight="1">
      <c r="A36" s="49" t="str">
        <f t="shared" si="0"/>
        <v>IBVS 5583 </v>
      </c>
      <c r="B36" s="15" t="str">
        <f t="shared" si="1"/>
        <v>I</v>
      </c>
      <c r="C36" s="49">
        <f t="shared" si="2"/>
        <v>53028.3631</v>
      </c>
      <c r="D36" t="str">
        <f t="shared" si="3"/>
        <v>vis</v>
      </c>
      <c r="E36">
        <f>VLOOKUP(C36,A!C$21:E$971,3,FALSE)</f>
        <v>11495.012548853263</v>
      </c>
      <c r="F36" s="15" t="s">
        <v>102</v>
      </c>
      <c r="G36" t="str">
        <f t="shared" si="4"/>
        <v>53028.3631</v>
      </c>
      <c r="H36" s="49">
        <f t="shared" si="5"/>
        <v>11495</v>
      </c>
      <c r="I36" s="58" t="s">
        <v>211</v>
      </c>
      <c r="J36" s="59" t="s">
        <v>212</v>
      </c>
      <c r="K36" s="58">
        <v>11495</v>
      </c>
      <c r="L36" s="58" t="s">
        <v>213</v>
      </c>
      <c r="M36" s="59" t="s">
        <v>171</v>
      </c>
      <c r="N36" s="59" t="s">
        <v>172</v>
      </c>
      <c r="O36" s="60" t="s">
        <v>214</v>
      </c>
      <c r="P36" s="61" t="s">
        <v>215</v>
      </c>
    </row>
    <row r="37" spans="1:16" ht="12.75" customHeight="1">
      <c r="A37" s="49" t="str">
        <f t="shared" si="0"/>
        <v>IBVS 5672 </v>
      </c>
      <c r="B37" s="15" t="str">
        <f t="shared" si="1"/>
        <v>I</v>
      </c>
      <c r="C37" s="49">
        <f t="shared" si="2"/>
        <v>53417.6301</v>
      </c>
      <c r="D37" t="str">
        <f t="shared" si="3"/>
        <v>vis</v>
      </c>
      <c r="E37">
        <f>VLOOKUP(C37,A!C$21:E$971,3,FALSE)</f>
        <v>11710.014945949351</v>
      </c>
      <c r="F37" s="15" t="s">
        <v>102</v>
      </c>
      <c r="G37" t="str">
        <f t="shared" si="4"/>
        <v>53417.6301</v>
      </c>
      <c r="H37" s="49">
        <f t="shared" si="5"/>
        <v>11710</v>
      </c>
      <c r="I37" s="58" t="s">
        <v>216</v>
      </c>
      <c r="J37" s="59" t="s">
        <v>217</v>
      </c>
      <c r="K37" s="58">
        <v>11710</v>
      </c>
      <c r="L37" s="58" t="s">
        <v>218</v>
      </c>
      <c r="M37" s="59" t="s">
        <v>171</v>
      </c>
      <c r="N37" s="59" t="s">
        <v>172</v>
      </c>
      <c r="O37" s="60" t="s">
        <v>219</v>
      </c>
      <c r="P37" s="61" t="s">
        <v>220</v>
      </c>
    </row>
    <row r="38" spans="1:16" ht="12.75" customHeight="1">
      <c r="A38" s="49" t="str">
        <f t="shared" si="0"/>
        <v>OEJV 0074 </v>
      </c>
      <c r="B38" s="15" t="str">
        <f t="shared" si="1"/>
        <v>I</v>
      </c>
      <c r="C38" s="49">
        <f t="shared" si="2"/>
        <v>53763.44284</v>
      </c>
      <c r="D38" t="str">
        <f t="shared" si="3"/>
        <v>vis</v>
      </c>
      <c r="E38">
        <f>VLOOKUP(C38,A!C$21:E$971,3,FALSE)</f>
        <v>11901.016412927973</v>
      </c>
      <c r="F38" s="15" t="s">
        <v>102</v>
      </c>
      <c r="G38" t="str">
        <f t="shared" si="4"/>
        <v>53763.44284</v>
      </c>
      <c r="H38" s="49">
        <f t="shared" si="5"/>
        <v>11901</v>
      </c>
      <c r="I38" s="58" t="s">
        <v>221</v>
      </c>
      <c r="J38" s="59" t="s">
        <v>222</v>
      </c>
      <c r="K38" s="58">
        <v>11901</v>
      </c>
      <c r="L38" s="58" t="s">
        <v>223</v>
      </c>
      <c r="M38" s="59" t="s">
        <v>224</v>
      </c>
      <c r="N38" s="59" t="s">
        <v>46</v>
      </c>
      <c r="O38" s="60" t="s">
        <v>225</v>
      </c>
      <c r="P38" s="61" t="s">
        <v>226</v>
      </c>
    </row>
    <row r="39" spans="1:16" ht="12.75" customHeight="1">
      <c r="A39" s="49" t="str">
        <f t="shared" si="0"/>
        <v>IBVS 5931 </v>
      </c>
      <c r="B39" s="15" t="str">
        <f t="shared" si="1"/>
        <v>I</v>
      </c>
      <c r="C39" s="49">
        <f t="shared" si="2"/>
        <v>54154.5213</v>
      </c>
      <c r="D39" t="str">
        <f t="shared" si="3"/>
        <v>vis</v>
      </c>
      <c r="E39">
        <f>VLOOKUP(C39,A!C$21:E$971,3,FALSE)</f>
        <v>12117.019327001466</v>
      </c>
      <c r="F39" s="15" t="s">
        <v>102</v>
      </c>
      <c r="G39" t="str">
        <f t="shared" si="4"/>
        <v>54154.5213</v>
      </c>
      <c r="H39" s="49">
        <f t="shared" si="5"/>
        <v>12117</v>
      </c>
      <c r="I39" s="58" t="s">
        <v>227</v>
      </c>
      <c r="J39" s="59" t="s">
        <v>228</v>
      </c>
      <c r="K39" s="58">
        <v>12117</v>
      </c>
      <c r="L39" s="58" t="s">
        <v>229</v>
      </c>
      <c r="M39" s="59" t="s">
        <v>224</v>
      </c>
      <c r="N39" s="59" t="s">
        <v>102</v>
      </c>
      <c r="O39" s="60" t="s">
        <v>230</v>
      </c>
      <c r="P39" s="61" t="s">
        <v>231</v>
      </c>
    </row>
    <row r="40" spans="1:16" ht="12.75" customHeight="1">
      <c r="A40" s="49" t="str">
        <f t="shared" si="0"/>
        <v>IBVS 5931 </v>
      </c>
      <c r="B40" s="15" t="str">
        <f t="shared" si="1"/>
        <v>I</v>
      </c>
      <c r="C40" s="49">
        <f t="shared" si="2"/>
        <v>54330.1376</v>
      </c>
      <c r="D40" t="str">
        <f t="shared" si="3"/>
        <v>vis</v>
      </c>
      <c r="E40">
        <f>VLOOKUP(C40,A!C$21:E$971,3,FALSE)</f>
        <v>12214.016826068035</v>
      </c>
      <c r="F40" s="15" t="s">
        <v>102</v>
      </c>
      <c r="G40" t="str">
        <f t="shared" si="4"/>
        <v>54330.1376</v>
      </c>
      <c r="H40" s="49">
        <f t="shared" si="5"/>
        <v>12214</v>
      </c>
      <c r="I40" s="58" t="s">
        <v>232</v>
      </c>
      <c r="J40" s="59" t="s">
        <v>233</v>
      </c>
      <c r="K40" s="58">
        <v>12214</v>
      </c>
      <c r="L40" s="58" t="s">
        <v>234</v>
      </c>
      <c r="M40" s="59" t="s">
        <v>224</v>
      </c>
      <c r="N40" s="59" t="s">
        <v>102</v>
      </c>
      <c r="O40" s="60" t="s">
        <v>230</v>
      </c>
      <c r="P40" s="61" t="s">
        <v>231</v>
      </c>
    </row>
    <row r="41" spans="1:16" ht="12.75" customHeight="1">
      <c r="A41" s="49" t="str">
        <f t="shared" si="0"/>
        <v>BAVM 201 </v>
      </c>
      <c r="B41" s="15" t="str">
        <f t="shared" si="1"/>
        <v>I</v>
      </c>
      <c r="C41" s="49">
        <f t="shared" si="2"/>
        <v>54500.3287</v>
      </c>
      <c r="D41" t="str">
        <f t="shared" si="3"/>
        <v>vis</v>
      </c>
      <c r="E41">
        <f>VLOOKUP(C41,A!C$21:E$971,3,FALSE)</f>
        <v>12308.017844557708</v>
      </c>
      <c r="F41" s="15" t="s">
        <v>102</v>
      </c>
      <c r="G41" t="str">
        <f t="shared" si="4"/>
        <v>54500.3287</v>
      </c>
      <c r="H41" s="49">
        <f t="shared" si="5"/>
        <v>12308</v>
      </c>
      <c r="I41" s="58" t="s">
        <v>235</v>
      </c>
      <c r="J41" s="59" t="s">
        <v>236</v>
      </c>
      <c r="K41" s="58">
        <v>12308</v>
      </c>
      <c r="L41" s="58" t="s">
        <v>237</v>
      </c>
      <c r="M41" s="59" t="s">
        <v>224</v>
      </c>
      <c r="N41" s="59">
        <v>0</v>
      </c>
      <c r="O41" s="60" t="s">
        <v>238</v>
      </c>
      <c r="P41" s="61" t="s">
        <v>239</v>
      </c>
    </row>
    <row r="42" spans="1:16" ht="12.75" customHeight="1">
      <c r="A42" s="49" t="str">
        <f t="shared" si="0"/>
        <v>IBVS 5931 </v>
      </c>
      <c r="B42" s="15" t="str">
        <f t="shared" si="1"/>
        <v>I</v>
      </c>
      <c r="C42" s="49">
        <f t="shared" si="2"/>
        <v>54507.5728</v>
      </c>
      <c r="D42" t="str">
        <f t="shared" si="3"/>
        <v>vis</v>
      </c>
      <c r="E42">
        <f>VLOOKUP(C42,A!C$21:E$971,3,FALSE)</f>
        <v>12312.01895141959</v>
      </c>
      <c r="F42" s="15" t="s">
        <v>102</v>
      </c>
      <c r="G42" t="str">
        <f t="shared" si="4"/>
        <v>54507.5728</v>
      </c>
      <c r="H42" s="49">
        <f t="shared" si="5"/>
        <v>12312</v>
      </c>
      <c r="I42" s="58" t="s">
        <v>240</v>
      </c>
      <c r="J42" s="59" t="s">
        <v>241</v>
      </c>
      <c r="K42" s="58">
        <v>12312</v>
      </c>
      <c r="L42" s="58" t="s">
        <v>242</v>
      </c>
      <c r="M42" s="59" t="s">
        <v>224</v>
      </c>
      <c r="N42" s="59" t="s">
        <v>102</v>
      </c>
      <c r="O42" s="60" t="s">
        <v>230</v>
      </c>
      <c r="P42" s="61" t="s">
        <v>231</v>
      </c>
    </row>
    <row r="43" spans="1:16" ht="12.75" customHeight="1">
      <c r="A43" s="49" t="str">
        <f aca="true" t="shared" si="6" ref="A43:A66">P43</f>
        <v>BAVM 209 </v>
      </c>
      <c r="B43" s="15" t="str">
        <f aca="true" t="shared" si="7" ref="B43:B66">IF(H43=INT(H43),"I","II")</f>
        <v>II</v>
      </c>
      <c r="C43" s="49">
        <f aca="true" t="shared" si="8" ref="C43:C66">1*G43</f>
        <v>54843.4298</v>
      </c>
      <c r="D43" t="str">
        <f aca="true" t="shared" si="9" ref="D43:D66">VLOOKUP(F43,I$1:J$5,2,FALSE)</f>
        <v>vis</v>
      </c>
      <c r="E43">
        <f>VLOOKUP(C43,A!C$21:E$971,3,FALSE)</f>
        <v>12497.521601481118</v>
      </c>
      <c r="F43" s="15" t="s">
        <v>102</v>
      </c>
      <c r="G43" t="str">
        <f aca="true" t="shared" si="10" ref="G43:G66">MID(I43,3,LEN(I43)-3)</f>
        <v>54843.4298</v>
      </c>
      <c r="H43" s="49">
        <f aca="true" t="shared" si="11" ref="H43:H66">1*K43</f>
        <v>12497.5</v>
      </c>
      <c r="I43" s="58" t="s">
        <v>243</v>
      </c>
      <c r="J43" s="59" t="s">
        <v>244</v>
      </c>
      <c r="K43" s="58">
        <v>12497.5</v>
      </c>
      <c r="L43" s="58" t="s">
        <v>245</v>
      </c>
      <c r="M43" s="59" t="s">
        <v>224</v>
      </c>
      <c r="N43" s="59">
        <v>0</v>
      </c>
      <c r="O43" s="60" t="s">
        <v>246</v>
      </c>
      <c r="P43" s="61" t="s">
        <v>247</v>
      </c>
    </row>
    <row r="44" spans="1:16" ht="12.75" customHeight="1">
      <c r="A44" s="49" t="str">
        <f t="shared" si="6"/>
        <v>IBVS 5894 </v>
      </c>
      <c r="B44" s="15" t="str">
        <f t="shared" si="7"/>
        <v>I</v>
      </c>
      <c r="C44" s="49">
        <f t="shared" si="8"/>
        <v>54860.623</v>
      </c>
      <c r="D44" t="str">
        <f t="shared" si="9"/>
        <v>vis</v>
      </c>
      <c r="E44">
        <f>VLOOKUP(C44,A!C$21:E$971,3,FALSE)</f>
        <v>12507.01785781354</v>
      </c>
      <c r="F44" s="15" t="s">
        <v>102</v>
      </c>
      <c r="G44" t="str">
        <f t="shared" si="10"/>
        <v>54860.623</v>
      </c>
      <c r="H44" s="49">
        <f t="shared" si="11"/>
        <v>12507</v>
      </c>
      <c r="I44" s="58" t="s">
        <v>248</v>
      </c>
      <c r="J44" s="59" t="s">
        <v>249</v>
      </c>
      <c r="K44" s="58">
        <v>12507</v>
      </c>
      <c r="L44" s="58" t="s">
        <v>250</v>
      </c>
      <c r="M44" s="59" t="s">
        <v>224</v>
      </c>
      <c r="N44" s="59" t="s">
        <v>102</v>
      </c>
      <c r="O44" s="60" t="s">
        <v>202</v>
      </c>
      <c r="P44" s="61" t="s">
        <v>251</v>
      </c>
    </row>
    <row r="45" spans="1:16" ht="12.75" customHeight="1">
      <c r="A45" s="49" t="str">
        <f t="shared" si="6"/>
        <v>IBVS 5920 </v>
      </c>
      <c r="B45" s="15" t="str">
        <f t="shared" si="7"/>
        <v>I</v>
      </c>
      <c r="C45" s="49">
        <f t="shared" si="8"/>
        <v>55144.8754</v>
      </c>
      <c r="D45" t="str">
        <f t="shared" si="9"/>
        <v>vis</v>
      </c>
      <c r="E45">
        <f>VLOOKUP(C45,A!C$21:E$971,3,FALSE)</f>
        <v>12664.017930720609</v>
      </c>
      <c r="F45" s="15" t="s">
        <v>102</v>
      </c>
      <c r="G45" t="str">
        <f t="shared" si="10"/>
        <v>55144.8754</v>
      </c>
      <c r="H45" s="49">
        <f t="shared" si="11"/>
        <v>12664</v>
      </c>
      <c r="I45" s="58" t="s">
        <v>252</v>
      </c>
      <c r="J45" s="59" t="s">
        <v>253</v>
      </c>
      <c r="K45" s="58">
        <v>12664</v>
      </c>
      <c r="L45" s="58" t="s">
        <v>254</v>
      </c>
      <c r="M45" s="59" t="s">
        <v>224</v>
      </c>
      <c r="N45" s="59" t="s">
        <v>102</v>
      </c>
      <c r="O45" s="60" t="s">
        <v>202</v>
      </c>
      <c r="P45" s="61" t="s">
        <v>255</v>
      </c>
    </row>
    <row r="46" spans="1:16" ht="12.75" customHeight="1">
      <c r="A46" s="49" t="str">
        <f t="shared" si="6"/>
        <v>BAVM 215 </v>
      </c>
      <c r="B46" s="15" t="str">
        <f t="shared" si="7"/>
        <v>I</v>
      </c>
      <c r="C46" s="49">
        <f t="shared" si="8"/>
        <v>55472.5706</v>
      </c>
      <c r="D46" t="str">
        <f t="shared" si="9"/>
        <v>vis</v>
      </c>
      <c r="E46">
        <f>VLOOKUP(C46,A!C$21:E$971,3,FALSE)</f>
        <v>12845.012604085889</v>
      </c>
      <c r="F46" s="15" t="s">
        <v>102</v>
      </c>
      <c r="G46" t="str">
        <f t="shared" si="10"/>
        <v>55472.5706</v>
      </c>
      <c r="H46" s="49">
        <f t="shared" si="11"/>
        <v>12845</v>
      </c>
      <c r="I46" s="58" t="s">
        <v>256</v>
      </c>
      <c r="J46" s="59" t="s">
        <v>257</v>
      </c>
      <c r="K46" s="58">
        <v>12845</v>
      </c>
      <c r="L46" s="58" t="s">
        <v>258</v>
      </c>
      <c r="M46" s="59" t="s">
        <v>224</v>
      </c>
      <c r="N46" s="59" t="s">
        <v>178</v>
      </c>
      <c r="O46" s="60" t="s">
        <v>259</v>
      </c>
      <c r="P46" s="61" t="s">
        <v>260</v>
      </c>
    </row>
    <row r="47" spans="1:16" ht="12.75" customHeight="1">
      <c r="A47" s="49" t="str">
        <f t="shared" si="6"/>
        <v>IBVS 5960 </v>
      </c>
      <c r="B47" s="15" t="str">
        <f t="shared" si="7"/>
        <v>I</v>
      </c>
      <c r="C47" s="49">
        <f t="shared" si="8"/>
        <v>55517.8463</v>
      </c>
      <c r="D47" t="str">
        <f t="shared" si="9"/>
        <v>vis</v>
      </c>
      <c r="E47">
        <f>VLOOKUP(C47,A!C$21:E$971,3,FALSE)</f>
        <v>12870.019563397116</v>
      </c>
      <c r="F47" s="15" t="s">
        <v>102</v>
      </c>
      <c r="G47" t="str">
        <f t="shared" si="10"/>
        <v>55517.8463</v>
      </c>
      <c r="H47" s="49">
        <f t="shared" si="11"/>
        <v>12870</v>
      </c>
      <c r="I47" s="58" t="s">
        <v>261</v>
      </c>
      <c r="J47" s="59" t="s">
        <v>262</v>
      </c>
      <c r="K47" s="58">
        <v>12870</v>
      </c>
      <c r="L47" s="58" t="s">
        <v>263</v>
      </c>
      <c r="M47" s="59" t="s">
        <v>224</v>
      </c>
      <c r="N47" s="59" t="s">
        <v>102</v>
      </c>
      <c r="O47" s="60" t="s">
        <v>202</v>
      </c>
      <c r="P47" s="61" t="s">
        <v>264</v>
      </c>
    </row>
    <row r="48" spans="1:16" ht="12.75" customHeight="1">
      <c r="A48" s="49" t="str">
        <f t="shared" si="6"/>
        <v> JAAVSO 42;426 </v>
      </c>
      <c r="B48" s="15" t="str">
        <f t="shared" si="7"/>
        <v>I</v>
      </c>
      <c r="C48" s="49">
        <f t="shared" si="8"/>
        <v>56694.6945</v>
      </c>
      <c r="D48" t="str">
        <f t="shared" si="9"/>
        <v>vis</v>
      </c>
      <c r="E48">
        <f>VLOOKUP(C48,A!C$21:E$971,3,FALSE)</f>
        <v>13520.023761076904</v>
      </c>
      <c r="F48" s="15" t="s">
        <v>102</v>
      </c>
      <c r="G48" t="str">
        <f t="shared" si="10"/>
        <v>56694.6945</v>
      </c>
      <c r="H48" s="49">
        <f t="shared" si="11"/>
        <v>13520</v>
      </c>
      <c r="I48" s="58" t="s">
        <v>265</v>
      </c>
      <c r="J48" s="59" t="s">
        <v>266</v>
      </c>
      <c r="K48" s="58">
        <v>13520</v>
      </c>
      <c r="L48" s="58" t="s">
        <v>267</v>
      </c>
      <c r="M48" s="59" t="s">
        <v>224</v>
      </c>
      <c r="N48" s="59" t="s">
        <v>97</v>
      </c>
      <c r="O48" s="60" t="s">
        <v>268</v>
      </c>
      <c r="P48" s="60" t="s">
        <v>269</v>
      </c>
    </row>
    <row r="49" spans="1:16" ht="12.75" customHeight="1">
      <c r="A49" s="49" t="str">
        <f t="shared" si="6"/>
        <v> AA 27.156 </v>
      </c>
      <c r="B49" s="15" t="str">
        <f t="shared" si="7"/>
        <v>I</v>
      </c>
      <c r="C49" s="49">
        <f t="shared" si="8"/>
        <v>26417.26</v>
      </c>
      <c r="D49" t="str">
        <f t="shared" si="9"/>
        <v>vis</v>
      </c>
      <c r="E49">
        <f>VLOOKUP(C49,A!C$21:E$971,3,FALSE)</f>
        <v>-3202.999242208333</v>
      </c>
      <c r="F49" s="15" t="s">
        <v>102</v>
      </c>
      <c r="G49" t="str">
        <f t="shared" si="10"/>
        <v>26417.260</v>
      </c>
      <c r="H49" s="49">
        <f t="shared" si="11"/>
        <v>-3203</v>
      </c>
      <c r="I49" s="58" t="s">
        <v>270</v>
      </c>
      <c r="J49" s="59" t="s">
        <v>271</v>
      </c>
      <c r="K49" s="58">
        <v>-3203</v>
      </c>
      <c r="L49" s="58" t="s">
        <v>272</v>
      </c>
      <c r="M49" s="59" t="s">
        <v>106</v>
      </c>
      <c r="N49" s="59"/>
      <c r="O49" s="60" t="s">
        <v>107</v>
      </c>
      <c r="P49" s="60" t="s">
        <v>45</v>
      </c>
    </row>
    <row r="50" spans="1:16" ht="12.75" customHeight="1">
      <c r="A50" s="49" t="str">
        <f t="shared" si="6"/>
        <v> AA 27.156 </v>
      </c>
      <c r="B50" s="15" t="str">
        <f t="shared" si="7"/>
        <v>I</v>
      </c>
      <c r="C50" s="49">
        <f t="shared" si="8"/>
        <v>26426.309</v>
      </c>
      <c r="D50" t="str">
        <f t="shared" si="9"/>
        <v>vis</v>
      </c>
      <c r="E50">
        <f>VLOOKUP(C50,A!C$21:E$971,3,FALSE)</f>
        <v>-3198.0012416294935</v>
      </c>
      <c r="F50" s="15" t="s">
        <v>102</v>
      </c>
      <c r="G50" t="str">
        <f t="shared" si="10"/>
        <v>26426.309</v>
      </c>
      <c r="H50" s="49">
        <f t="shared" si="11"/>
        <v>-3198</v>
      </c>
      <c r="I50" s="58" t="s">
        <v>273</v>
      </c>
      <c r="J50" s="59" t="s">
        <v>274</v>
      </c>
      <c r="K50" s="58">
        <v>-3198</v>
      </c>
      <c r="L50" s="58" t="s">
        <v>275</v>
      </c>
      <c r="M50" s="59" t="s">
        <v>106</v>
      </c>
      <c r="N50" s="59"/>
      <c r="O50" s="60" t="s">
        <v>107</v>
      </c>
      <c r="P50" s="60" t="s">
        <v>45</v>
      </c>
    </row>
    <row r="51" spans="1:16" ht="12.75" customHeight="1">
      <c r="A51" s="49" t="str">
        <f t="shared" si="6"/>
        <v> AA 27.156 </v>
      </c>
      <c r="B51" s="15" t="str">
        <f t="shared" si="7"/>
        <v>I</v>
      </c>
      <c r="C51" s="49">
        <f t="shared" si="8"/>
        <v>27161.382</v>
      </c>
      <c r="D51" t="str">
        <f t="shared" si="9"/>
        <v>vis</v>
      </c>
      <c r="E51">
        <f>VLOOKUP(C51,A!C$21:E$971,3,FALSE)</f>
        <v>-2792.001100233964</v>
      </c>
      <c r="F51" s="15" t="s">
        <v>102</v>
      </c>
      <c r="G51" t="str">
        <f t="shared" si="10"/>
        <v>27161.382</v>
      </c>
      <c r="H51" s="49">
        <f t="shared" si="11"/>
        <v>-2792</v>
      </c>
      <c r="I51" s="58" t="s">
        <v>276</v>
      </c>
      <c r="J51" s="59" t="s">
        <v>277</v>
      </c>
      <c r="K51" s="58">
        <v>-2792</v>
      </c>
      <c r="L51" s="58" t="s">
        <v>275</v>
      </c>
      <c r="M51" s="59" t="s">
        <v>106</v>
      </c>
      <c r="N51" s="59"/>
      <c r="O51" s="60" t="s">
        <v>278</v>
      </c>
      <c r="P51" s="60" t="s">
        <v>45</v>
      </c>
    </row>
    <row r="52" spans="1:16" ht="12.75" customHeight="1">
      <c r="A52" s="49" t="str">
        <f t="shared" si="6"/>
        <v> AA 27.156 </v>
      </c>
      <c r="B52" s="15" t="str">
        <f t="shared" si="7"/>
        <v>I</v>
      </c>
      <c r="C52" s="49">
        <f t="shared" si="8"/>
        <v>27811.363</v>
      </c>
      <c r="D52" t="str">
        <f t="shared" si="9"/>
        <v>vis</v>
      </c>
      <c r="E52">
        <f>VLOOKUP(C52,A!C$21:E$971,3,FALSE)</f>
        <v>-2432.9995073249497</v>
      </c>
      <c r="F52" s="15" t="s">
        <v>102</v>
      </c>
      <c r="G52" t="str">
        <f t="shared" si="10"/>
        <v>27811.363</v>
      </c>
      <c r="H52" s="49">
        <f t="shared" si="11"/>
        <v>-2433</v>
      </c>
      <c r="I52" s="58" t="s">
        <v>279</v>
      </c>
      <c r="J52" s="59" t="s">
        <v>280</v>
      </c>
      <c r="K52" s="58">
        <v>-2433</v>
      </c>
      <c r="L52" s="58" t="s">
        <v>272</v>
      </c>
      <c r="M52" s="59" t="s">
        <v>106</v>
      </c>
      <c r="N52" s="59"/>
      <c r="O52" s="60" t="s">
        <v>107</v>
      </c>
      <c r="P52" s="60" t="s">
        <v>45</v>
      </c>
    </row>
    <row r="53" spans="1:16" ht="12.75" customHeight="1">
      <c r="A53" s="49" t="str">
        <f t="shared" si="6"/>
        <v> AA 27.156 </v>
      </c>
      <c r="B53" s="15" t="str">
        <f t="shared" si="7"/>
        <v>I</v>
      </c>
      <c r="C53" s="49">
        <f t="shared" si="8"/>
        <v>28548.253</v>
      </c>
      <c r="D53" t="str">
        <f t="shared" si="9"/>
        <v>vis</v>
      </c>
      <c r="E53">
        <f>VLOOKUP(C53,A!C$21:E$971,3,FALSE)</f>
        <v>-2025.99578906438</v>
      </c>
      <c r="F53" s="15" t="s">
        <v>102</v>
      </c>
      <c r="G53" t="str">
        <f t="shared" si="10"/>
        <v>28548.253</v>
      </c>
      <c r="H53" s="49">
        <f t="shared" si="11"/>
        <v>-2026</v>
      </c>
      <c r="I53" s="58" t="s">
        <v>281</v>
      </c>
      <c r="J53" s="59" t="s">
        <v>282</v>
      </c>
      <c r="K53" s="58">
        <v>-2026</v>
      </c>
      <c r="L53" s="58" t="s">
        <v>283</v>
      </c>
      <c r="M53" s="59" t="s">
        <v>106</v>
      </c>
      <c r="N53" s="59"/>
      <c r="O53" s="60" t="s">
        <v>107</v>
      </c>
      <c r="P53" s="60" t="s">
        <v>45</v>
      </c>
    </row>
    <row r="54" spans="1:16" ht="12.75" customHeight="1">
      <c r="A54" s="49" t="str">
        <f t="shared" si="6"/>
        <v> AA 27.156 </v>
      </c>
      <c r="B54" s="15" t="str">
        <f t="shared" si="7"/>
        <v>I</v>
      </c>
      <c r="C54" s="49">
        <f t="shared" si="8"/>
        <v>28812.592</v>
      </c>
      <c r="D54" t="str">
        <f t="shared" si="9"/>
        <v>vis</v>
      </c>
      <c r="E54">
        <f>VLOOKUP(C54,A!C$21:E$971,3,FALSE)</f>
        <v>-1879.9944104579656</v>
      </c>
      <c r="F54" s="15" t="s">
        <v>102</v>
      </c>
      <c r="G54" t="str">
        <f t="shared" si="10"/>
        <v>28812.592</v>
      </c>
      <c r="H54" s="49">
        <f t="shared" si="11"/>
        <v>-1880</v>
      </c>
      <c r="I54" s="58" t="s">
        <v>284</v>
      </c>
      <c r="J54" s="59" t="s">
        <v>285</v>
      </c>
      <c r="K54" s="58">
        <v>-1880</v>
      </c>
      <c r="L54" s="58" t="s">
        <v>286</v>
      </c>
      <c r="M54" s="59" t="s">
        <v>106</v>
      </c>
      <c r="N54" s="59"/>
      <c r="O54" s="60" t="s">
        <v>107</v>
      </c>
      <c r="P54" s="60" t="s">
        <v>45</v>
      </c>
    </row>
    <row r="55" spans="1:16" ht="12.75" customHeight="1">
      <c r="A55" s="49" t="str">
        <f t="shared" si="6"/>
        <v> AA 27.156 </v>
      </c>
      <c r="B55" s="15" t="str">
        <f t="shared" si="7"/>
        <v>I</v>
      </c>
      <c r="C55" s="49">
        <f t="shared" si="8"/>
        <v>30793.298</v>
      </c>
      <c r="D55" t="str">
        <f t="shared" si="9"/>
        <v>vis</v>
      </c>
      <c r="E55">
        <f>VLOOKUP(C55,A!C$21:E$971,3,FALSE)</f>
        <v>-785.9984181375113</v>
      </c>
      <c r="F55" s="15" t="s">
        <v>102</v>
      </c>
      <c r="G55" t="str">
        <f t="shared" si="10"/>
        <v>30793.298</v>
      </c>
      <c r="H55" s="49">
        <f t="shared" si="11"/>
        <v>-786</v>
      </c>
      <c r="I55" s="58" t="s">
        <v>287</v>
      </c>
      <c r="J55" s="59" t="s">
        <v>288</v>
      </c>
      <c r="K55" s="58">
        <v>-786</v>
      </c>
      <c r="L55" s="58" t="s">
        <v>289</v>
      </c>
      <c r="M55" s="59" t="s">
        <v>106</v>
      </c>
      <c r="N55" s="59"/>
      <c r="O55" s="60" t="s">
        <v>107</v>
      </c>
      <c r="P55" s="60" t="s">
        <v>45</v>
      </c>
    </row>
    <row r="56" spans="1:16" ht="12.75" customHeight="1">
      <c r="A56" s="49" t="str">
        <f t="shared" si="6"/>
        <v> HA 113.75 </v>
      </c>
      <c r="B56" s="15" t="str">
        <f t="shared" si="7"/>
        <v>I</v>
      </c>
      <c r="C56" s="49">
        <f t="shared" si="8"/>
        <v>31075.72</v>
      </c>
      <c r="D56" t="str">
        <f t="shared" si="9"/>
        <v>vis</v>
      </c>
      <c r="E56">
        <f>VLOOKUP(C56,A!C$21:E$971,3,FALSE)</f>
        <v>-630.0093232677375</v>
      </c>
      <c r="F56" s="15" t="s">
        <v>102</v>
      </c>
      <c r="G56" t="str">
        <f t="shared" si="10"/>
        <v>31075.720</v>
      </c>
      <c r="H56" s="49">
        <f t="shared" si="11"/>
        <v>-630</v>
      </c>
      <c r="I56" s="58" t="s">
        <v>290</v>
      </c>
      <c r="J56" s="59" t="s">
        <v>291</v>
      </c>
      <c r="K56" s="58">
        <v>-630</v>
      </c>
      <c r="L56" s="58" t="s">
        <v>292</v>
      </c>
      <c r="M56" s="59" t="s">
        <v>112</v>
      </c>
      <c r="N56" s="59"/>
      <c r="O56" s="60" t="s">
        <v>293</v>
      </c>
      <c r="P56" s="60" t="s">
        <v>48</v>
      </c>
    </row>
    <row r="57" spans="1:16" ht="12.75" customHeight="1">
      <c r="A57" s="49" t="str">
        <f t="shared" si="6"/>
        <v> AA 27.156 </v>
      </c>
      <c r="B57" s="15" t="str">
        <f t="shared" si="7"/>
        <v>I</v>
      </c>
      <c r="C57" s="49">
        <f t="shared" si="8"/>
        <v>31146.35</v>
      </c>
      <c r="D57" t="str">
        <f t="shared" si="9"/>
        <v>vis</v>
      </c>
      <c r="E57">
        <f>VLOOKUP(C57,A!C$21:E$971,3,FALSE)</f>
        <v>-590.9985175562433</v>
      </c>
      <c r="F57" s="15" t="s">
        <v>102</v>
      </c>
      <c r="G57" t="str">
        <f t="shared" si="10"/>
        <v>31146.350</v>
      </c>
      <c r="H57" s="49">
        <f t="shared" si="11"/>
        <v>-591</v>
      </c>
      <c r="I57" s="58" t="s">
        <v>294</v>
      </c>
      <c r="J57" s="59" t="s">
        <v>295</v>
      </c>
      <c r="K57" s="58">
        <v>-591</v>
      </c>
      <c r="L57" s="58" t="s">
        <v>289</v>
      </c>
      <c r="M57" s="59" t="s">
        <v>106</v>
      </c>
      <c r="N57" s="59"/>
      <c r="O57" s="60" t="s">
        <v>107</v>
      </c>
      <c r="P57" s="60" t="s">
        <v>45</v>
      </c>
    </row>
    <row r="58" spans="1:16" ht="12.75" customHeight="1">
      <c r="A58" s="49" t="str">
        <f t="shared" si="6"/>
        <v> AA 27.156 </v>
      </c>
      <c r="B58" s="15" t="str">
        <f t="shared" si="7"/>
        <v>I</v>
      </c>
      <c r="C58" s="49">
        <f t="shared" si="8"/>
        <v>32609.242</v>
      </c>
      <c r="D58" t="str">
        <f t="shared" si="9"/>
        <v>vis</v>
      </c>
      <c r="E58">
        <f>VLOOKUP(C58,A!C$21:E$971,3,FALSE)</f>
        <v>216.99519034268533</v>
      </c>
      <c r="F58" s="15" t="s">
        <v>102</v>
      </c>
      <c r="G58" t="str">
        <f t="shared" si="10"/>
        <v>32609.242</v>
      </c>
      <c r="H58" s="49">
        <f t="shared" si="11"/>
        <v>217</v>
      </c>
      <c r="I58" s="58" t="s">
        <v>296</v>
      </c>
      <c r="J58" s="59" t="s">
        <v>297</v>
      </c>
      <c r="K58" s="58">
        <v>217</v>
      </c>
      <c r="L58" s="58" t="s">
        <v>298</v>
      </c>
      <c r="M58" s="59" t="s">
        <v>106</v>
      </c>
      <c r="N58" s="59"/>
      <c r="O58" s="60" t="s">
        <v>299</v>
      </c>
      <c r="P58" s="60" t="s">
        <v>45</v>
      </c>
    </row>
    <row r="59" spans="1:16" ht="12.75" customHeight="1">
      <c r="A59" s="49" t="str">
        <f t="shared" si="6"/>
        <v> AAC 5.77 </v>
      </c>
      <c r="B59" s="15" t="str">
        <f t="shared" si="7"/>
        <v>I</v>
      </c>
      <c r="C59" s="49">
        <f t="shared" si="8"/>
        <v>33688.314</v>
      </c>
      <c r="D59" t="str">
        <f t="shared" si="9"/>
        <v>vis</v>
      </c>
      <c r="E59">
        <f>VLOOKUP(C59,A!C$21:E$971,3,FALSE)</f>
        <v>812.9950224354939</v>
      </c>
      <c r="F59" s="15" t="s">
        <v>102</v>
      </c>
      <c r="G59" t="str">
        <f t="shared" si="10"/>
        <v>33688.314</v>
      </c>
      <c r="H59" s="49">
        <f t="shared" si="11"/>
        <v>813</v>
      </c>
      <c r="I59" s="58" t="s">
        <v>300</v>
      </c>
      <c r="J59" s="59" t="s">
        <v>301</v>
      </c>
      <c r="K59" s="58">
        <v>813</v>
      </c>
      <c r="L59" s="58" t="s">
        <v>298</v>
      </c>
      <c r="M59" s="59" t="s">
        <v>106</v>
      </c>
      <c r="N59" s="59"/>
      <c r="O59" s="60" t="s">
        <v>299</v>
      </c>
      <c r="P59" s="60" t="s">
        <v>50</v>
      </c>
    </row>
    <row r="60" spans="1:16" ht="12.75" customHeight="1">
      <c r="A60" s="49" t="str">
        <f t="shared" si="6"/>
        <v>VSB 47 </v>
      </c>
      <c r="B60" s="15" t="str">
        <f t="shared" si="7"/>
        <v>I</v>
      </c>
      <c r="C60" s="49">
        <f t="shared" si="8"/>
        <v>51158.083</v>
      </c>
      <c r="D60" t="str">
        <f t="shared" si="9"/>
        <v>vis</v>
      </c>
      <c r="E60">
        <f>VLOOKUP(C60,A!C$21:E$971,3,FALSE)</f>
        <v>10462.007683963317</v>
      </c>
      <c r="F60" s="15" t="s">
        <v>102</v>
      </c>
      <c r="G60" t="str">
        <f t="shared" si="10"/>
        <v>51158.083</v>
      </c>
      <c r="H60" s="49">
        <f t="shared" si="11"/>
        <v>10462</v>
      </c>
      <c r="I60" s="58" t="s">
        <v>302</v>
      </c>
      <c r="J60" s="59" t="s">
        <v>303</v>
      </c>
      <c r="K60" s="58">
        <v>10462</v>
      </c>
      <c r="L60" s="58" t="s">
        <v>304</v>
      </c>
      <c r="M60" s="59" t="s">
        <v>224</v>
      </c>
      <c r="N60" s="59" t="s">
        <v>102</v>
      </c>
      <c r="O60" s="60" t="s">
        <v>305</v>
      </c>
      <c r="P60" s="61" t="s">
        <v>92</v>
      </c>
    </row>
    <row r="61" spans="1:16" ht="12.75" customHeight="1">
      <c r="A61" s="49" t="str">
        <f t="shared" si="6"/>
        <v>VSB 48 </v>
      </c>
      <c r="B61" s="15" t="str">
        <f t="shared" si="7"/>
        <v>I</v>
      </c>
      <c r="C61" s="49">
        <f t="shared" si="8"/>
        <v>54503.9468</v>
      </c>
      <c r="D61" t="str">
        <f t="shared" si="9"/>
        <v>vis</v>
      </c>
      <c r="E61">
        <f>VLOOKUP(C61,A!C$21:E$971,3,FALSE)</f>
        <v>12310.016216299811</v>
      </c>
      <c r="F61" s="15" t="s">
        <v>102</v>
      </c>
      <c r="G61" t="str">
        <f t="shared" si="10"/>
        <v>54503.9468</v>
      </c>
      <c r="H61" s="49">
        <f t="shared" si="11"/>
        <v>12310</v>
      </c>
      <c r="I61" s="58" t="s">
        <v>306</v>
      </c>
      <c r="J61" s="59" t="s">
        <v>307</v>
      </c>
      <c r="K61" s="58">
        <v>12310</v>
      </c>
      <c r="L61" s="58" t="s">
        <v>308</v>
      </c>
      <c r="M61" s="59" t="s">
        <v>224</v>
      </c>
      <c r="N61" s="59" t="s">
        <v>309</v>
      </c>
      <c r="O61" s="60" t="s">
        <v>310</v>
      </c>
      <c r="P61" s="61" t="s">
        <v>93</v>
      </c>
    </row>
    <row r="62" spans="1:16" ht="12.75" customHeight="1">
      <c r="A62" s="49" t="str">
        <f t="shared" si="6"/>
        <v>OEJV 0137 </v>
      </c>
      <c r="B62" s="15" t="str">
        <f t="shared" si="7"/>
        <v>I</v>
      </c>
      <c r="C62" s="49">
        <f t="shared" si="8"/>
        <v>55628.2897</v>
      </c>
      <c r="D62" t="str">
        <f t="shared" si="9"/>
        <v>vis</v>
      </c>
      <c r="E62" t="e">
        <f>VLOOKUP(C62,A!C$21:E$971,3,FALSE)</f>
        <v>#N/A</v>
      </c>
      <c r="F62" s="15" t="s">
        <v>102</v>
      </c>
      <c r="G62" t="str">
        <f t="shared" si="10"/>
        <v>55628.2897</v>
      </c>
      <c r="H62" s="49">
        <f t="shared" si="11"/>
        <v>12931</v>
      </c>
      <c r="I62" s="58" t="s">
        <v>311</v>
      </c>
      <c r="J62" s="59" t="s">
        <v>312</v>
      </c>
      <c r="K62" s="58">
        <v>12931</v>
      </c>
      <c r="L62" s="58" t="s">
        <v>313</v>
      </c>
      <c r="M62" s="59" t="s">
        <v>224</v>
      </c>
      <c r="N62" s="59" t="s">
        <v>314</v>
      </c>
      <c r="O62" s="60" t="s">
        <v>225</v>
      </c>
      <c r="P62" s="61" t="s">
        <v>315</v>
      </c>
    </row>
    <row r="63" spans="1:16" ht="12.75" customHeight="1">
      <c r="A63" s="49" t="str">
        <f t="shared" si="6"/>
        <v>OEJV 0137 </v>
      </c>
      <c r="B63" s="15" t="str">
        <f t="shared" si="7"/>
        <v>I</v>
      </c>
      <c r="C63" s="49">
        <f t="shared" si="8"/>
        <v>55628.2912</v>
      </c>
      <c r="D63" t="str">
        <f t="shared" si="9"/>
        <v>vis</v>
      </c>
      <c r="E63" t="e">
        <f>VLOOKUP(C63,A!C$21:E$971,3,FALSE)</f>
        <v>#N/A</v>
      </c>
      <c r="F63" s="15" t="s">
        <v>102</v>
      </c>
      <c r="G63" t="str">
        <f t="shared" si="10"/>
        <v>55628.2912</v>
      </c>
      <c r="H63" s="49">
        <f t="shared" si="11"/>
        <v>12931</v>
      </c>
      <c r="I63" s="58" t="s">
        <v>316</v>
      </c>
      <c r="J63" s="59" t="s">
        <v>317</v>
      </c>
      <c r="K63" s="58">
        <v>12931</v>
      </c>
      <c r="L63" s="58" t="s">
        <v>318</v>
      </c>
      <c r="M63" s="59" t="s">
        <v>224</v>
      </c>
      <c r="N63" s="59" t="s">
        <v>102</v>
      </c>
      <c r="O63" s="60" t="s">
        <v>225</v>
      </c>
      <c r="P63" s="61" t="s">
        <v>315</v>
      </c>
    </row>
    <row r="64" spans="1:16" ht="12.75" customHeight="1">
      <c r="A64" s="49" t="str">
        <f t="shared" si="6"/>
        <v>VSB 56 </v>
      </c>
      <c r="B64" s="15" t="str">
        <f t="shared" si="7"/>
        <v>I</v>
      </c>
      <c r="C64" s="49">
        <f t="shared" si="8"/>
        <v>56299.9712</v>
      </c>
      <c r="D64" t="str">
        <f t="shared" si="9"/>
        <v>vis</v>
      </c>
      <c r="E64">
        <f>VLOOKUP(C64,A!C$21:E$971,3,FALSE)</f>
        <v>13302.007706056369</v>
      </c>
      <c r="F64" s="15" t="s">
        <v>102</v>
      </c>
      <c r="G64" t="str">
        <f t="shared" si="10"/>
        <v>56299.9712</v>
      </c>
      <c r="H64" s="49">
        <f t="shared" si="11"/>
        <v>13302</v>
      </c>
      <c r="I64" s="58" t="s">
        <v>319</v>
      </c>
      <c r="J64" s="59" t="s">
        <v>320</v>
      </c>
      <c r="K64" s="58">
        <v>13302</v>
      </c>
      <c r="L64" s="58" t="s">
        <v>321</v>
      </c>
      <c r="M64" s="59" t="s">
        <v>224</v>
      </c>
      <c r="N64" s="59" t="s">
        <v>102</v>
      </c>
      <c r="O64" s="60" t="s">
        <v>322</v>
      </c>
      <c r="P64" s="61" t="s">
        <v>94</v>
      </c>
    </row>
    <row r="65" spans="1:16" ht="12.75" customHeight="1">
      <c r="A65" s="49" t="str">
        <f t="shared" si="6"/>
        <v>VSB 56 </v>
      </c>
      <c r="B65" s="15" t="str">
        <f t="shared" si="7"/>
        <v>I</v>
      </c>
      <c r="C65" s="49">
        <f t="shared" si="8"/>
        <v>56299.9875</v>
      </c>
      <c r="D65" t="str">
        <f t="shared" si="9"/>
        <v>vis</v>
      </c>
      <c r="E65">
        <f>VLOOKUP(C65,A!C$21:E$971,3,FALSE)</f>
        <v>13302.016708974863</v>
      </c>
      <c r="F65" s="15" t="s">
        <v>102</v>
      </c>
      <c r="G65" t="str">
        <f t="shared" si="10"/>
        <v>56299.9875</v>
      </c>
      <c r="H65" s="49">
        <f t="shared" si="11"/>
        <v>13302</v>
      </c>
      <c r="I65" s="58" t="s">
        <v>323</v>
      </c>
      <c r="J65" s="59" t="s">
        <v>324</v>
      </c>
      <c r="K65" s="58">
        <v>13302</v>
      </c>
      <c r="L65" s="58" t="s">
        <v>325</v>
      </c>
      <c r="M65" s="59" t="s">
        <v>224</v>
      </c>
      <c r="N65" s="59" t="s">
        <v>309</v>
      </c>
      <c r="O65" s="60" t="s">
        <v>322</v>
      </c>
      <c r="P65" s="61" t="s">
        <v>94</v>
      </c>
    </row>
    <row r="66" spans="1:16" ht="12.75" customHeight="1">
      <c r="A66" s="49" t="str">
        <f t="shared" si="6"/>
        <v>VSB 56 </v>
      </c>
      <c r="B66" s="15" t="str">
        <f t="shared" si="7"/>
        <v>I</v>
      </c>
      <c r="C66" s="49">
        <f t="shared" si="8"/>
        <v>56299.9895</v>
      </c>
      <c r="D66" t="str">
        <f t="shared" si="9"/>
        <v>vis</v>
      </c>
      <c r="E66">
        <f>VLOOKUP(C66,A!C$21:E$971,3,FALSE)</f>
        <v>13302.017813627439</v>
      </c>
      <c r="F66" s="15" t="s">
        <v>102</v>
      </c>
      <c r="G66" t="str">
        <f t="shared" si="10"/>
        <v>56299.9895</v>
      </c>
      <c r="H66" s="49">
        <f t="shared" si="11"/>
        <v>13302</v>
      </c>
      <c r="I66" s="58" t="s">
        <v>326</v>
      </c>
      <c r="J66" s="59" t="s">
        <v>327</v>
      </c>
      <c r="K66" s="58">
        <v>13302</v>
      </c>
      <c r="L66" s="58" t="s">
        <v>237</v>
      </c>
      <c r="M66" s="59" t="s">
        <v>224</v>
      </c>
      <c r="N66" s="59" t="s">
        <v>58</v>
      </c>
      <c r="O66" s="60" t="s">
        <v>322</v>
      </c>
      <c r="P66" s="61" t="s">
        <v>94</v>
      </c>
    </row>
  </sheetData>
  <sheetProtection selectLockedCells="1" selectUnlockedCells="1"/>
  <hyperlinks>
    <hyperlink ref="P16" r:id="rId1" display="IBVS 46 "/>
    <hyperlink ref="P18" r:id="rId2" display="BAVM 39 "/>
    <hyperlink ref="P21" r:id="rId3" display="BAVM 52 "/>
    <hyperlink ref="P22" r:id="rId4" display="BAVM 52 "/>
    <hyperlink ref="P26" r:id="rId5" display="IBVS 3925 "/>
    <hyperlink ref="P27" r:id="rId6" display="BAVM 62 "/>
    <hyperlink ref="P35" r:id="rId7" display="IBVS 5502 "/>
    <hyperlink ref="P36" r:id="rId8" display="IBVS 5583 "/>
    <hyperlink ref="P37" r:id="rId9" display="IBVS 5672 "/>
    <hyperlink ref="P38" r:id="rId10" display="OEJV 0074 "/>
    <hyperlink ref="P39" r:id="rId11" display="IBVS 5931 "/>
    <hyperlink ref="P40" r:id="rId12" display="IBVS 5931 "/>
    <hyperlink ref="P41" r:id="rId13" display="BAVM 201 "/>
    <hyperlink ref="P42" r:id="rId14" display="IBVS 5931 "/>
    <hyperlink ref="P43" r:id="rId15" display="BAVM 209 "/>
    <hyperlink ref="P44" r:id="rId16" display="IBVS 5894 "/>
    <hyperlink ref="P45" r:id="rId17" display="IBVS 5920 "/>
    <hyperlink ref="P46" r:id="rId18" display="BAVM 215 "/>
    <hyperlink ref="P47" r:id="rId19" display="IBVS 5960 "/>
    <hyperlink ref="P60" r:id="rId20" display="VSB 47 "/>
    <hyperlink ref="P61" r:id="rId21" display="VSB 48 "/>
    <hyperlink ref="P62" r:id="rId22" display="OEJV 0137 "/>
    <hyperlink ref="P63" r:id="rId23" display="OEJV 0137 "/>
    <hyperlink ref="P64" r:id="rId24" display="VSB 56 "/>
    <hyperlink ref="P65" r:id="rId25" display="VSB 56 "/>
    <hyperlink ref="P66" r:id="rId26" display="VSB 56 "/>
  </hyperlinks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2022-11-21T05:22:47Z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