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<sst xmlns="http://schemas.openxmlformats.org/spreadsheetml/2006/main" count="146" uniqueCount="98">
  <si>
    <t>V1626 Ori / GSC 00721-02377</t>
  </si>
  <si>
    <t>System Type:</t>
  </si>
  <si>
    <t>E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</si>
  <si>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</si>
  <si>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</si>
  <si>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</si>
  <si>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</si>
  <si>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</si>
  <si>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</si>
  <si>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Period =</t>
  </si>
  <si>
    <t>IBVS 5339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</si>
  <si>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</si>
  <si>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</si>
  <si>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</si>
  <si>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</si>
  <si>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</si>
  <si>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</si>
  <si>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</si>
  <si>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</si>
  <si>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</si>
  <si>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</si>
  <si>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</si>
  <si>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</si>
  <si>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</si>
  <si>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</si>
  <si>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</si>
  <si>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</si>
  <si>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</si>
  <si>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</si>
  <si>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</si>
  <si>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</si>
  <si>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</si>
  <si>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</si>
  <si>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</si>
  <si>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</si>
  <si>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</si>
  <si>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</si>
  <si>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</si>
  <si>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</si>
  <si>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</si>
  <si>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</si>
  <si>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</si>
  <si>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</si>
  <si>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</si>
  <si>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BAVM 144 </t>
  </si>
  <si>
    <t>I</t>
  </si>
  <si>
    <t>BAV</t>
  </si>
  <si>
    <t>IBVS 5643</t>
  </si>
  <si>
    <t>IBVS 5894</t>
  </si>
  <si>
    <t>IBVS 5960</t>
  </si>
  <si>
    <t>IBVS 6029</t>
  </si>
  <si>
    <t>IBVS 6042</t>
  </si>
  <si>
    <t>OEJV 0160</t>
  </si>
  <si>
    <t>OEJV 0165</t>
  </si>
  <si>
    <t>OEJV 0179</t>
  </si>
  <si>
    <t>OEJV 0211</t>
  </si>
  <si>
    <t>Minima from the Lichtenknecker Database of the BAV</t>
  </si>
  <si>
    <t>C</t>
  </si>
  <si>
    <t>http://www.bav-astro.de/LkDB/index.php?lang=en&amp;sprache_dial=en</t>
  </si>
  <si>
    <t>F</t>
  </si>
  <si>
    <t>P</t>
  </si>
  <si>
    <t>V</t>
  </si>
  <si>
    <t>2452223.5824 </t>
  </si>
  <si>
    <t> 10.11.2001 01:58 </t>
  </si>
  <si>
    <t> 0.0006 </t>
  </si>
  <si>
    <t>E </t>
  </si>
  <si>
    <t>o</t>
  </si>
  <si>
    <t> Moschner&amp;Frank </t>
  </si>
  <si>
    <t>2452618.3953 </t>
  </si>
  <si>
    <t> 09.12.2002 21:29 </t>
  </si>
  <si>
    <t> -0.0002 </t>
  </si>
  <si>
    <t> W.Moschner </t>
  </si>
  <si>
    <t>BAVM 172 </t>
  </si>
  <si>
    <t>2454874.6374 </t>
  </si>
  <si>
    <t> 12.02.2009 03:17 </t>
  </si>
  <si>
    <t> 0.0011 </t>
  </si>
  <si>
    <t>C </t>
  </si>
  <si>
    <t> R.Diethelm </t>
  </si>
  <si>
    <t>IBVS 5894 </t>
  </si>
  <si>
    <t>2455528.8671 </t>
  </si>
  <si>
    <t> 28.11.2010 08:48 </t>
  </si>
  <si>
    <t> 0.0007 </t>
  </si>
  <si>
    <t>IBVS 5960 </t>
  </si>
  <si>
    <t>2455956.6755 </t>
  </si>
  <si>
    <t> 30.01.2012 04:12 </t>
  </si>
  <si>
    <t> -0.0006 </t>
  </si>
  <si>
    <t>IBVS 6029 </t>
  </si>
  <si>
    <t>2456255.9151 </t>
  </si>
  <si>
    <t> 24.11.2012 09:57 </t>
  </si>
  <si>
    <t>IBVS 6042 </t>
  </si>
  <si>
    <t>2456293.4622 </t>
  </si>
  <si>
    <t> 31.12.2012 23:05 </t>
  </si>
  <si>
    <t> M.Urbanik </t>
  </si>
  <si>
    <t>OEJV 0160 </t>
  </si>
  <si>
    <t>2451957.3394 </t>
  </si>
  <si>
    <t> 16.02.2001 20:08 </t>
  </si>
  <si>
    <t> 0.0008 </t>
  </si>
  <si>
    <t> P.Frank 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</si>
</sst>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9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7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6" fillId="0" borderId="0" xfId="0" applyNumberFormat="1" applyFont="1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10" fillId="0" borderId="0" xfId="61" applyFont="1" applyAlignment="1">
      <alignment horizontal="left"/>
      <protection/>
    </xf>
    <xf numFmtId="0" fontId="10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0" fillId="0" borderId="0" xfId="60" applyFont="1" applyAlignment="1">
      <alignment horizontal="left"/>
      <protection/>
    </xf>
    <xf numFmtId="0" fontId="1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13" fillId="0" borderId="0" xfId="56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8" fillId="33" borderId="19" xfId="0" applyFont="1" applyFill="1" applyBorder="1" applyAlignment="1">
      <alignment horizontal="left" vertical="top" wrapText="1" inden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right" vertical="top" wrapText="1"/>
    </xf>
    <xf numFmtId="0" fontId="13" fillId="33" borderId="19" xfId="56" applyNumberFormat="1" applyFont="1" applyFill="1" applyBorder="1" applyAlignment="1" applyProtection="1">
      <alignment horizontal="righ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V1626 Ori 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A!$F$21:$F$35</c:f>
              <c:numCache/>
            </c:numRef>
          </c:xVal>
          <c:yVal>
            <c:numRef>
              <c:f>A!$H$21:$H$35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A!$F$21:$F$35</c:f>
              <c:numCache/>
            </c:numRef>
          </c:xVal>
          <c:yVal>
            <c:numRef>
              <c:f>A!$I$21:$I$35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A!$F$21:$F$35</c:f>
              <c:numCache/>
            </c:numRef>
          </c:xVal>
          <c:yVal>
            <c:numRef>
              <c:f>A!$J$21:$J$35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A!$F$21:$F$35</c:f>
              <c:numCache/>
            </c:numRef>
          </c:xVal>
          <c:yVal>
            <c:numRef>
              <c:f>A!$K$21:$K$35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A!$F$21:$F$35</c:f>
              <c:numCache/>
            </c:numRef>
          </c:xVal>
          <c:yVal>
            <c:numRef>
              <c:f>A!$L$21:$L$35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A!$F$21:$F$35</c:f>
              <c:numCache/>
            </c:numRef>
          </c:xVal>
          <c:yVal>
            <c:numRef>
              <c:f>A!$M$21:$M$35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A!$F$21:$F$35</c:f>
              <c:numCache/>
            </c:numRef>
          </c:xVal>
          <c:yVal>
            <c:numRef>
              <c:f>A!$N$21:$N$35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A!$F$21:$F$35</c:f>
              <c:numCache/>
            </c:numRef>
          </c:xVal>
          <c:yVal>
            <c:numRef>
              <c:f>A!$O$21:$O$35</c:f>
              <c:numCache/>
            </c:numRef>
          </c:yVal>
          <c:smooth val="0"/>
        </c:ser>
        <c:axId val="66579489"/>
        <c:axId val="62344490"/>
      </c:scatterChart>
      <c:valAx>
        <c:axId val="6657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490"/>
        <c:crossesAt val="0"/>
        <c:crossBetween val="midCat"/>
        <c:dispUnits/>
      </c:valAx>
      <c:valAx>
        <c:axId val="6234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948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75"/>
          <c:y val="0.92275"/>
          <c:w val="0.63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44" TargetMode="External" /><Relationship Id="rId2" Type="http://schemas.openxmlformats.org/officeDocument/2006/relationships/hyperlink" Target="http://www.bav-astro.de/sfs/BAVM_link.php?BAVMnr=172" TargetMode="External" /><Relationship Id="rId3" Type="http://schemas.openxmlformats.org/officeDocument/2006/relationships/hyperlink" Target="http://www.konkoly.hu/cgi-bin/IBVS?5894" TargetMode="External" /><Relationship Id="rId4" Type="http://schemas.openxmlformats.org/officeDocument/2006/relationships/hyperlink" Target="http://www.konkoly.hu/cgi-bin/IBVS?5960" TargetMode="External" /><Relationship Id="rId5" Type="http://schemas.openxmlformats.org/officeDocument/2006/relationships/hyperlink" Target="http://www.konkoly.hu/cgi-bin/IBVS?6029" TargetMode="External" /><Relationship Id="rId6" Type="http://schemas.openxmlformats.org/officeDocument/2006/relationships/hyperlink" Target="http://www.konkoly.hu/cgi-bin/IBVS?6042" TargetMode="External" /><Relationship Id="rId7" Type="http://schemas.openxmlformats.org/officeDocument/2006/relationships/hyperlink" Target="http://var.astro.cz/oejv/issues/oejv0160.pdf" TargetMode="External" /><Relationship Id="rId8" Type="http://schemas.openxmlformats.org/officeDocument/2006/relationships/hyperlink" Target="http://www.bav-astro.de/sfs/BAVM_link.php?BAVMnr=14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1" t="s">
        <v>2</v>
      </c>
      <c r="C2" s="3"/>
      <c r="D2" s="3"/>
    </row>
    <row r="4" spans="1:4" ht="12.75">
      <c r="A4" s="4" t="s">
        <v>3</v>
      </c>
      <c r="C4" s="5" t="s">
        <v>4</v>
      </c>
      <c r="D4" s="6" t="s">
        <v>4</v>
      </c>
    </row>
    <row r="5" spans="1:4" ht="12.75">
      <c r="A5" s="7" t="s">
        <v>5</v>
      </c>
      <c r="B5"/>
      <c r="C5" s="8">
        <v>-9.5</v>
      </c>
      <c r="D5" t="s">
        <v>6</v>
      </c>
    </row>
    <row r="6" ht="12.75">
      <c r="A6" s="4" t="s">
        <v>7</v>
      </c>
    </row>
    <row r="7" spans="1:3" ht="12.75">
      <c r="A7" s="1" t="s">
        <v>8</v>
      </c>
      <c r="C7" s="1">
        <v>52223.5824</v>
      </c>
    </row>
    <row r="8" spans="1:4" ht="12.75">
      <c r="A8" s="1" t="s">
        <v>9</v>
      </c>
      <c r="C8" s="1">
        <v>1.137793</v>
      </c>
      <c r="D8" s="9" t="s">
        <v>10</v>
      </c>
    </row>
    <row r="9" spans="1:4" ht="12.75">
      <c r="A9" s="10" t="s">
        <v>11</v>
      </c>
      <c r="B9" s="11">
        <v>21</v>
      </c>
      <c r="C9" s="12" t="str">
        <f>"F"&amp;B9</f>
        <v>F21</v>
      </c>
      <c r="D9" s="13" t="str">
        <f>"G"&amp;B9</f>
        <v>G21</v>
      </c>
    </row>
    <row r="10" spans="1:5" ht="12.75">
      <c r="A10"/>
      <c r="B10"/>
      <c r="C10" s="14" t="s">
        <v>12</v>
      </c>
      <c r="D10" s="14" t="s">
        <v>13</v>
      </c>
      <c r="E10"/>
    </row>
    <row r="11" spans="1:5" ht="12.75">
      <c r="A11" t="s">
        <v>14</v>
      </c>
      <c r="B11"/>
      <c r="C11" s="15">
        <f ca="1">INTERCEPT(INDIRECT($D$9):G991,INDIRECT($C$9):F991)</f>
        <v>-0.0006418986799349219</v>
      </c>
      <c r="D11" s="3"/>
      <c r="E11"/>
    </row>
    <row r="12" spans="1:5" ht="12.75">
      <c r="A12" t="s">
        <v>15</v>
      </c>
      <c r="B12"/>
      <c r="C12" s="15">
        <f ca="1">SLOPE(INDIRECT($D$9):G991,INDIRECT($C$9):F991)</f>
        <v>-1.1135460995149944E-06</v>
      </c>
      <c r="D12" s="3"/>
      <c r="E12"/>
    </row>
    <row r="13" spans="1:3" ht="12.75">
      <c r="A13" t="s">
        <v>16</v>
      </c>
      <c r="B13"/>
      <c r="C13" s="3" t="s">
        <v>17</v>
      </c>
    </row>
    <row r="14" spans="1:3" ht="12.75">
      <c r="A14"/>
      <c r="B14"/>
      <c r="C14"/>
    </row>
    <row r="15" spans="1:6" ht="12.75">
      <c r="A15" s="16" t="s">
        <v>18</v>
      </c>
      <c r="B15"/>
      <c r="C15" s="17">
        <f>(C7+C11)+(C8+C12)*INT(MAX(F21:F3532))</f>
        <v>58175.37111614167</v>
      </c>
      <c r="E15" s="18" t="s">
        <v>19</v>
      </c>
      <c r="F15" s="8">
        <v>1</v>
      </c>
    </row>
    <row r="16" spans="1:6" ht="12.75">
      <c r="A16" s="16" t="s">
        <v>20</v>
      </c>
      <c r="B16"/>
      <c r="C16" s="17">
        <f>+C8+C12</f>
        <v>1.1377918864539005</v>
      </c>
      <c r="E16" s="18" t="s">
        <v>21</v>
      </c>
      <c r="F16" s="15">
        <f ca="1">NOW()+15018.5+$C$5/24</f>
        <v>59904.7853912037</v>
      </c>
    </row>
    <row r="17" spans="1:6" ht="12.75">
      <c r="A17" s="18" t="s">
        <v>22</v>
      </c>
      <c r="B17"/>
      <c r="C17">
        <f>COUNT(C21:C2190)</f>
        <v>15</v>
      </c>
      <c r="E17" s="18" t="s">
        <v>23</v>
      </c>
      <c r="F17" s="15">
        <f>ROUND(2*(F16-$C$7)/$C$8,0)/2+F15</f>
        <v>6752</v>
      </c>
    </row>
    <row r="18" spans="1:6" ht="12.75">
      <c r="A18" s="16" t="s">
        <v>24</v>
      </c>
      <c r="B18"/>
      <c r="C18" s="19">
        <f>+C15</f>
        <v>58175.37111614167</v>
      </c>
      <c r="D18" s="20">
        <f>+C16</f>
        <v>1.1377918864539005</v>
      </c>
      <c r="E18" s="18" t="s">
        <v>25</v>
      </c>
      <c r="F18" s="13">
        <f>ROUND(2*(F16-$C$15)/$C$16,0)/2+F15</f>
        <v>1521</v>
      </c>
    </row>
    <row r="19" spans="5:6" ht="12.75">
      <c r="E19" s="18" t="s">
        <v>26</v>
      </c>
      <c r="F19" s="21">
        <f>+$C$15+$C$16*F18-15018.5-$C$5/24</f>
        <v>44887.84840877139</v>
      </c>
    </row>
    <row r="20" spans="1:17" ht="12.75">
      <c r="A20" s="14" t="s">
        <v>27</v>
      </c>
      <c r="B20" s="14" t="s">
        <v>28</v>
      </c>
      <c r="C20" s="14" t="s">
        <v>29</v>
      </c>
      <c r="D20" s="14" t="s">
        <v>30</v>
      </c>
      <c r="E20" s="14" t="s">
        <v>31</v>
      </c>
      <c r="F20" s="14" t="s">
        <v>32</v>
      </c>
      <c r="G20" s="14" t="s">
        <v>33</v>
      </c>
      <c r="H20" s="22" t="s">
        <v>34</v>
      </c>
      <c r="I20" s="22" t="s">
        <v>35</v>
      </c>
      <c r="J20" s="22" t="s">
        <v>36</v>
      </c>
      <c r="K20" s="22" t="s">
        <v>37</v>
      </c>
      <c r="L20" s="22" t="s">
        <v>38</v>
      </c>
      <c r="M20" s="22" t="s">
        <v>39</v>
      </c>
      <c r="N20" s="22" t="s">
        <v>40</v>
      </c>
      <c r="O20" s="22" t="s">
        <v>41</v>
      </c>
      <c r="P20" s="22" t="s">
        <v>42</v>
      </c>
      <c r="Q20" s="14" t="s">
        <v>43</v>
      </c>
    </row>
    <row r="21" spans="1:17" ht="12.75">
      <c r="A21" s="1" t="s">
        <v>10</v>
      </c>
      <c r="C21" s="23">
        <v>51957.3379</v>
      </c>
      <c r="D21" s="23">
        <v>0.0012</v>
      </c>
      <c r="E21" s="1">
        <f aca="true" t="shared" si="0" ref="E21:E32">+(C21-C$7)/C$8</f>
        <v>-234.0008244030335</v>
      </c>
      <c r="F21" s="1">
        <f aca="true" t="shared" si="1" ref="F21:F34">ROUND(2*E21,0)/2</f>
        <v>-234</v>
      </c>
      <c r="G21" s="1">
        <f aca="true" t="shared" si="2" ref="G21:G32">+C21-(C$7+F21*C$8)</f>
        <v>-0.000937999997404404</v>
      </c>
      <c r="H21" s="1">
        <f>+G21</f>
        <v>-0.000937999997404404</v>
      </c>
      <c r="O21" s="1">
        <f aca="true" t="shared" si="3" ref="O21:O32">+C$11+C$12*$F21</f>
        <v>-0.00038132889264841315</v>
      </c>
      <c r="Q21" s="24">
        <f aca="true" t="shared" si="4" ref="Q21:Q32">+C21-15018.5</f>
        <v>36938.8379</v>
      </c>
    </row>
    <row r="22" spans="1:17" ht="12.75">
      <c r="A22" s="25" t="s">
        <v>44</v>
      </c>
      <c r="B22" s="26" t="s">
        <v>45</v>
      </c>
      <c r="C22" s="27">
        <v>51957.3394</v>
      </c>
      <c r="D22" s="23"/>
      <c r="E22" s="1">
        <f t="shared" si="0"/>
        <v>-233.99950606129778</v>
      </c>
      <c r="F22" s="1">
        <f t="shared" si="1"/>
        <v>-234</v>
      </c>
      <c r="G22" s="1">
        <f t="shared" si="2"/>
        <v>0.0005620000010821968</v>
      </c>
      <c r="K22" s="1">
        <f aca="true" t="shared" si="5" ref="K22:K33">+G22</f>
        <v>0.0005620000010821968</v>
      </c>
      <c r="O22" s="1">
        <f t="shared" si="3"/>
        <v>-0.00038132889264841315</v>
      </c>
      <c r="Q22" s="24">
        <f t="shared" si="4"/>
        <v>36938.8394</v>
      </c>
    </row>
    <row r="23" spans="1:17" ht="12.75">
      <c r="A23" s="1" t="s">
        <v>10</v>
      </c>
      <c r="C23" s="23">
        <v>52223.5824</v>
      </c>
      <c r="D23" s="23">
        <v>0.0029</v>
      </c>
      <c r="E23" s="1">
        <f t="shared" si="0"/>
        <v>0</v>
      </c>
      <c r="F23" s="1">
        <f t="shared" si="1"/>
        <v>0</v>
      </c>
      <c r="G23" s="1">
        <f t="shared" si="2"/>
        <v>0</v>
      </c>
      <c r="K23" s="1">
        <f t="shared" si="5"/>
        <v>0</v>
      </c>
      <c r="O23" s="1">
        <f t="shared" si="3"/>
        <v>-0.0006418986799349219</v>
      </c>
      <c r="Q23" s="24">
        <f t="shared" si="4"/>
        <v>37205.0824</v>
      </c>
    </row>
    <row r="24" spans="1:17" ht="12.75">
      <c r="A24" s="1" t="s">
        <v>46</v>
      </c>
      <c r="C24" s="23">
        <v>52500.0652</v>
      </c>
      <c r="D24" s="23" t="s">
        <v>17</v>
      </c>
      <c r="E24" s="1">
        <f t="shared" si="0"/>
        <v>242.99920987385048</v>
      </c>
      <c r="F24" s="1">
        <f t="shared" si="1"/>
        <v>243</v>
      </c>
      <c r="G24" s="1">
        <f t="shared" si="2"/>
        <v>-0.0008989999987534247</v>
      </c>
      <c r="K24" s="1">
        <f t="shared" si="5"/>
        <v>-0.0008989999987534247</v>
      </c>
      <c r="O24" s="1">
        <f t="shared" si="3"/>
        <v>-0.0009124903821170655</v>
      </c>
      <c r="Q24" s="24">
        <f t="shared" si="4"/>
        <v>37481.5652</v>
      </c>
    </row>
    <row r="25" spans="1:17" ht="12.75">
      <c r="A25" s="1" t="s">
        <v>47</v>
      </c>
      <c r="C25" s="23">
        <v>52618.3953</v>
      </c>
      <c r="D25" s="23">
        <v>0.0003</v>
      </c>
      <c r="E25" s="1">
        <f t="shared" si="0"/>
        <v>346.998882925099</v>
      </c>
      <c r="F25" s="1">
        <f t="shared" si="1"/>
        <v>347</v>
      </c>
      <c r="G25" s="1">
        <f t="shared" si="2"/>
        <v>-0.0012710000009974465</v>
      </c>
      <c r="J25" s="1">
        <f>+G25</f>
        <v>-0.0012710000009974465</v>
      </c>
      <c r="O25" s="1">
        <f t="shared" si="3"/>
        <v>-0.0010282991764666248</v>
      </c>
      <c r="Q25" s="24">
        <f t="shared" si="4"/>
        <v>37599.8953</v>
      </c>
    </row>
    <row r="26" spans="1:17" ht="12.75">
      <c r="A26" s="28" t="s">
        <v>47</v>
      </c>
      <c r="B26" s="29"/>
      <c r="C26" s="30">
        <v>52618.3953</v>
      </c>
      <c r="D26" s="30">
        <v>0.0003</v>
      </c>
      <c r="E26" s="1">
        <f t="shared" si="0"/>
        <v>346.998882925099</v>
      </c>
      <c r="F26" s="1">
        <f t="shared" si="1"/>
        <v>347</v>
      </c>
      <c r="G26" s="1">
        <f t="shared" si="2"/>
        <v>-0.0012710000009974465</v>
      </c>
      <c r="J26" s="1">
        <f>+G26</f>
        <v>-0.0012710000009974465</v>
      </c>
      <c r="O26" s="1">
        <f t="shared" si="3"/>
        <v>-0.0010282991764666248</v>
      </c>
      <c r="Q26" s="24">
        <f t="shared" si="4"/>
        <v>37599.8953</v>
      </c>
    </row>
    <row r="27" spans="1:17" ht="12.75">
      <c r="A27" s="28" t="s">
        <v>48</v>
      </c>
      <c r="B27" s="31" t="s">
        <v>45</v>
      </c>
      <c r="C27" s="28">
        <v>54874.6374</v>
      </c>
      <c r="D27" s="28">
        <v>0.0004</v>
      </c>
      <c r="E27" s="1">
        <f t="shared" si="0"/>
        <v>2329.9976357738183</v>
      </c>
      <c r="F27" s="1">
        <f t="shared" si="1"/>
        <v>2330</v>
      </c>
      <c r="G27" s="1">
        <f t="shared" si="2"/>
        <v>-0.0026900000011664815</v>
      </c>
      <c r="K27" s="1">
        <f t="shared" si="5"/>
        <v>-0.0026900000011664815</v>
      </c>
      <c r="O27" s="1">
        <f t="shared" si="3"/>
        <v>-0.003236461091804859</v>
      </c>
      <c r="Q27" s="24">
        <f t="shared" si="4"/>
        <v>39856.1374</v>
      </c>
    </row>
    <row r="28" spans="1:17" ht="12.75">
      <c r="A28" s="32" t="s">
        <v>49</v>
      </c>
      <c r="B28" s="33" t="s">
        <v>45</v>
      </c>
      <c r="C28" s="34">
        <v>55528.8671</v>
      </c>
      <c r="D28" s="34">
        <v>0.0008</v>
      </c>
      <c r="E28" s="1">
        <f t="shared" si="0"/>
        <v>2904.996515183345</v>
      </c>
      <c r="F28" s="1">
        <f t="shared" si="1"/>
        <v>2905</v>
      </c>
      <c r="G28" s="1">
        <f t="shared" si="2"/>
        <v>-0.003964999996242113</v>
      </c>
      <c r="K28" s="1">
        <f t="shared" si="5"/>
        <v>-0.003964999996242113</v>
      </c>
      <c r="O28" s="1">
        <f t="shared" si="3"/>
        <v>-0.0038767500990259805</v>
      </c>
      <c r="Q28" s="24">
        <f t="shared" si="4"/>
        <v>40510.3671</v>
      </c>
    </row>
    <row r="29" spans="1:17" ht="12.75">
      <c r="A29" s="34" t="s">
        <v>50</v>
      </c>
      <c r="B29" s="33" t="s">
        <v>45</v>
      </c>
      <c r="C29" s="34">
        <v>55956.6755</v>
      </c>
      <c r="D29" s="34">
        <v>0.0003</v>
      </c>
      <c r="E29" s="1">
        <f t="shared" si="0"/>
        <v>3280.9949612978794</v>
      </c>
      <c r="F29" s="1">
        <f t="shared" si="1"/>
        <v>3281</v>
      </c>
      <c r="G29" s="1">
        <f t="shared" si="2"/>
        <v>-0.005732999998144805</v>
      </c>
      <c r="K29" s="1">
        <f t="shared" si="5"/>
        <v>-0.005732999998144805</v>
      </c>
      <c r="O29" s="1">
        <f t="shared" si="3"/>
        <v>-0.004295443432443619</v>
      </c>
      <c r="Q29" s="24">
        <f t="shared" si="4"/>
        <v>40938.1755</v>
      </c>
    </row>
    <row r="30" spans="1:17" ht="12.75">
      <c r="A30" s="32" t="s">
        <v>51</v>
      </c>
      <c r="B30" s="33" t="s">
        <v>45</v>
      </c>
      <c r="C30" s="34">
        <v>56255.9151</v>
      </c>
      <c r="D30" s="34">
        <v>0.00030000000000000003</v>
      </c>
      <c r="E30" s="1">
        <f t="shared" si="0"/>
        <v>3543.9949973325542</v>
      </c>
      <c r="F30" s="1">
        <f t="shared" si="1"/>
        <v>3544</v>
      </c>
      <c r="G30" s="1">
        <f t="shared" si="2"/>
        <v>-0.005691999998816755</v>
      </c>
      <c r="K30" s="1">
        <f t="shared" si="5"/>
        <v>-0.005691999998816755</v>
      </c>
      <c r="O30" s="1">
        <f t="shared" si="3"/>
        <v>-0.004588306056616062</v>
      </c>
      <c r="Q30" s="24">
        <f t="shared" si="4"/>
        <v>41237.4151</v>
      </c>
    </row>
    <row r="31" spans="1:17" ht="12.75">
      <c r="A31" s="25" t="s">
        <v>52</v>
      </c>
      <c r="B31" s="26" t="s">
        <v>45</v>
      </c>
      <c r="C31" s="27">
        <v>56293.4622</v>
      </c>
      <c r="D31" s="23"/>
      <c r="E31" s="1">
        <f t="shared" si="0"/>
        <v>3576.9949366888372</v>
      </c>
      <c r="F31" s="1">
        <f t="shared" si="1"/>
        <v>3577</v>
      </c>
      <c r="G31" s="1">
        <f t="shared" si="2"/>
        <v>-0.005761000000347849</v>
      </c>
      <c r="K31" s="1">
        <f t="shared" si="5"/>
        <v>-0.005761000000347849</v>
      </c>
      <c r="O31" s="1">
        <f t="shared" si="3"/>
        <v>-0.004625053077900057</v>
      </c>
      <c r="Q31" s="24">
        <f t="shared" si="4"/>
        <v>41274.9622</v>
      </c>
    </row>
    <row r="32" spans="1:17" ht="12.75">
      <c r="A32" s="35" t="s">
        <v>53</v>
      </c>
      <c r="B32" s="36"/>
      <c r="C32" s="35">
        <v>56293.46337</v>
      </c>
      <c r="D32" s="35">
        <v>0.00039</v>
      </c>
      <c r="E32" s="1">
        <f t="shared" si="0"/>
        <v>3576.9959649953885</v>
      </c>
      <c r="F32" s="1">
        <f t="shared" si="1"/>
        <v>3577</v>
      </c>
      <c r="G32" s="1">
        <f t="shared" si="2"/>
        <v>-0.004591000004438683</v>
      </c>
      <c r="K32" s="1">
        <f t="shared" si="5"/>
        <v>-0.004591000004438683</v>
      </c>
      <c r="O32" s="1">
        <f t="shared" si="3"/>
        <v>-0.004625053077900057</v>
      </c>
      <c r="Q32" s="24">
        <f t="shared" si="4"/>
        <v>41274.96337</v>
      </c>
    </row>
    <row r="33" spans="1:17" ht="12.75">
      <c r="A33" s="37" t="s">
        <v>54</v>
      </c>
      <c r="B33" s="38" t="s">
        <v>45</v>
      </c>
      <c r="C33" s="39">
        <v>57407.3624</v>
      </c>
      <c r="D33" s="39">
        <v>0.0006</v>
      </c>
      <c r="E33" s="1">
        <f>+(C33-C$7)/C$8</f>
        <v>4555.995686385835</v>
      </c>
      <c r="F33" s="1">
        <f t="shared" si="1"/>
        <v>4556</v>
      </c>
      <c r="G33" s="1">
        <f>+C33-(C$7+F33*C$8)</f>
        <v>-0.004908000002615154</v>
      </c>
      <c r="K33" s="1">
        <f t="shared" si="5"/>
        <v>-0.004908000002615154</v>
      </c>
      <c r="O33" s="1">
        <f>+C$11+C$12*$F33</f>
        <v>-0.005715214709325236</v>
      </c>
      <c r="Q33" s="24">
        <f>+C33-15018.5</f>
        <v>42388.8624</v>
      </c>
    </row>
    <row r="34" spans="1:17" ht="12.75">
      <c r="A34" s="37" t="s">
        <v>54</v>
      </c>
      <c r="B34" s="38" t="s">
        <v>45</v>
      </c>
      <c r="C34" s="39">
        <v>57407.36366</v>
      </c>
      <c r="D34" s="39">
        <v>0.0005</v>
      </c>
      <c r="E34" s="1">
        <f>+(C34-C$7)/C$8</f>
        <v>4555.996793792899</v>
      </c>
      <c r="F34" s="1">
        <f t="shared" si="1"/>
        <v>4556</v>
      </c>
      <c r="G34" s="1">
        <f>+C34-(C$7+F34*C$8)</f>
        <v>-0.003647999998065643</v>
      </c>
      <c r="K34" s="1">
        <f>+G34</f>
        <v>-0.003647999998065643</v>
      </c>
      <c r="O34" s="1">
        <f>+C$11+C$12*$F34</f>
        <v>-0.005715214709325236</v>
      </c>
      <c r="Q34" s="24">
        <f>+C34-15018.5</f>
        <v>42388.86366</v>
      </c>
    </row>
    <row r="35" spans="1:17" ht="12.75">
      <c r="A35" s="40" t="s">
        <v>55</v>
      </c>
      <c r="B35" s="41" t="s">
        <v>45</v>
      </c>
      <c r="C35" s="42">
        <v>58175.37087000022</v>
      </c>
      <c r="D35" s="42">
        <v>0.0002</v>
      </c>
      <c r="E35" s="1">
        <f>+(C35-C$7)/C$8</f>
        <v>5230.994099981471</v>
      </c>
      <c r="F35" s="1">
        <f>ROUND(2*E35,0)/2</f>
        <v>5231</v>
      </c>
      <c r="G35" s="1">
        <f>+C35-(C$7+F35*C$8)</f>
        <v>-0.006712999784213025</v>
      </c>
      <c r="K35" s="1">
        <f>+G35</f>
        <v>-0.006712999784213025</v>
      </c>
      <c r="O35" s="1">
        <f>+C$11+C$12*$F35</f>
        <v>-0.006466858326497857</v>
      </c>
      <c r="Q35" s="24">
        <f>+C35-15018.5</f>
        <v>43156.87087000022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9.7109375" style="23" customWidth="1"/>
    <col min="2" max="2" width="4.421875" style="0" customWidth="1"/>
    <col min="3" max="3" width="12.7109375" style="23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23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43" t="s">
        <v>56</v>
      </c>
      <c r="I1" s="44" t="s">
        <v>57</v>
      </c>
      <c r="J1" s="45" t="s">
        <v>37</v>
      </c>
    </row>
    <row r="2" spans="9:10" ht="12.75">
      <c r="I2" s="46" t="s">
        <v>2</v>
      </c>
      <c r="J2" s="47" t="s">
        <v>36</v>
      </c>
    </row>
    <row r="3" spans="1:10" ht="12.75">
      <c r="A3" s="48" t="s">
        <v>58</v>
      </c>
      <c r="I3" s="46" t="s">
        <v>59</v>
      </c>
      <c r="J3" s="47" t="s">
        <v>34</v>
      </c>
    </row>
    <row r="4" spans="9:10" ht="12.75">
      <c r="I4" s="46" t="s">
        <v>60</v>
      </c>
      <c r="J4" s="47" t="s">
        <v>34</v>
      </c>
    </row>
    <row r="5" spans="9:10" ht="12.75">
      <c r="I5" s="49" t="s">
        <v>61</v>
      </c>
      <c r="J5" s="50" t="s">
        <v>35</v>
      </c>
    </row>
    <row r="12" spans="1:16" ht="12.75" customHeight="1">
      <c r="A12" s="23" t="str">
        <f aca="true" t="shared" si="0" ref="A12:A19">P12</f>
        <v>BAVM 144 </v>
      </c>
      <c r="B12" s="3" t="str">
        <f aca="true" t="shared" si="1" ref="B12:B19">IF(H12=INT(H12),"I","II")</f>
        <v>I</v>
      </c>
      <c r="C12" s="23">
        <f aca="true" t="shared" si="2" ref="C12:C19">1*G12</f>
        <v>52223.5824</v>
      </c>
      <c r="D12" t="str">
        <f aca="true" t="shared" si="3" ref="D12:D19">VLOOKUP(F12,I$1:J$5,2,FALSE)</f>
        <v>vis</v>
      </c>
      <c r="E12">
        <f>VLOOKUP(C12,A!C$21:E$973,3,FALSE)</f>
        <v>0</v>
      </c>
      <c r="F12" s="3" t="s">
        <v>61</v>
      </c>
      <c r="G12" t="str">
        <f aca="true" t="shared" si="4" ref="G12:G19">MID(I12,3,LEN(I12)-3)</f>
        <v>52223.5824</v>
      </c>
      <c r="H12" s="23">
        <f aca="true" t="shared" si="5" ref="H12:H19">1*K12</f>
        <v>-243</v>
      </c>
      <c r="I12" s="51" t="s">
        <v>62</v>
      </c>
      <c r="J12" s="52" t="s">
        <v>63</v>
      </c>
      <c r="K12" s="51">
        <v>-243</v>
      </c>
      <c r="L12" s="51" t="s">
        <v>64</v>
      </c>
      <c r="M12" s="52" t="s">
        <v>65</v>
      </c>
      <c r="N12" s="52" t="s">
        <v>66</v>
      </c>
      <c r="O12" s="53" t="s">
        <v>67</v>
      </c>
      <c r="P12" s="54" t="s">
        <v>44</v>
      </c>
    </row>
    <row r="13" spans="1:16" ht="12.75" customHeight="1">
      <c r="A13" s="23" t="str">
        <f t="shared" si="0"/>
        <v>BAVM 172 </v>
      </c>
      <c r="B13" s="3" t="str">
        <f t="shared" si="1"/>
        <v>I</v>
      </c>
      <c r="C13" s="23">
        <f t="shared" si="2"/>
        <v>52618.3953</v>
      </c>
      <c r="D13" t="str">
        <f t="shared" si="3"/>
        <v>vis</v>
      </c>
      <c r="E13">
        <f>VLOOKUP(C13,A!C$21:E$973,3,FALSE)</f>
        <v>346.998882925099</v>
      </c>
      <c r="F13" s="3" t="s">
        <v>61</v>
      </c>
      <c r="G13" t="str">
        <f t="shared" si="4"/>
        <v>52618.3953</v>
      </c>
      <c r="H13" s="23">
        <f t="shared" si="5"/>
        <v>104</v>
      </c>
      <c r="I13" s="51" t="s">
        <v>68</v>
      </c>
      <c r="J13" s="52" t="s">
        <v>69</v>
      </c>
      <c r="K13" s="51">
        <v>104</v>
      </c>
      <c r="L13" s="51" t="s">
        <v>70</v>
      </c>
      <c r="M13" s="52" t="s">
        <v>65</v>
      </c>
      <c r="N13" s="52" t="s">
        <v>66</v>
      </c>
      <c r="O13" s="53" t="s">
        <v>71</v>
      </c>
      <c r="P13" s="54" t="s">
        <v>72</v>
      </c>
    </row>
    <row r="14" spans="1:16" ht="12.75" customHeight="1">
      <c r="A14" s="23" t="str">
        <f t="shared" si="0"/>
        <v>IBVS 5894 </v>
      </c>
      <c r="B14" s="3" t="str">
        <f t="shared" si="1"/>
        <v>I</v>
      </c>
      <c r="C14" s="23">
        <f t="shared" si="2"/>
        <v>54874.6374</v>
      </c>
      <c r="D14" t="str">
        <f t="shared" si="3"/>
        <v>vis</v>
      </c>
      <c r="E14">
        <f>VLOOKUP(C14,A!C$21:E$973,3,FALSE)</f>
        <v>2329.9976357738183</v>
      </c>
      <c r="F14" s="3" t="s">
        <v>61</v>
      </c>
      <c r="G14" t="str">
        <f t="shared" si="4"/>
        <v>54874.6374</v>
      </c>
      <c r="H14" s="23">
        <f t="shared" si="5"/>
        <v>2087</v>
      </c>
      <c r="I14" s="51" t="s">
        <v>73</v>
      </c>
      <c r="J14" s="52" t="s">
        <v>74</v>
      </c>
      <c r="K14" s="51">
        <v>2087</v>
      </c>
      <c r="L14" s="51" t="s">
        <v>75</v>
      </c>
      <c r="M14" s="52" t="s">
        <v>76</v>
      </c>
      <c r="N14" s="52" t="s">
        <v>61</v>
      </c>
      <c r="O14" s="53" t="s">
        <v>77</v>
      </c>
      <c r="P14" s="54" t="s">
        <v>78</v>
      </c>
    </row>
    <row r="15" spans="1:16" ht="12.75" customHeight="1">
      <c r="A15" s="23" t="str">
        <f t="shared" si="0"/>
        <v>IBVS 5960 </v>
      </c>
      <c r="B15" s="3" t="str">
        <f t="shared" si="1"/>
        <v>I</v>
      </c>
      <c r="C15" s="23">
        <f t="shared" si="2"/>
        <v>55528.8671</v>
      </c>
      <c r="D15" t="str">
        <f t="shared" si="3"/>
        <v>vis</v>
      </c>
      <c r="E15">
        <f>VLOOKUP(C15,A!C$21:E$973,3,FALSE)</f>
        <v>2904.996515183345</v>
      </c>
      <c r="F15" s="3" t="s">
        <v>61</v>
      </c>
      <c r="G15" t="str">
        <f t="shared" si="4"/>
        <v>55528.8671</v>
      </c>
      <c r="H15" s="23">
        <f t="shared" si="5"/>
        <v>2662</v>
      </c>
      <c r="I15" s="51" t="s">
        <v>79</v>
      </c>
      <c r="J15" s="52" t="s">
        <v>80</v>
      </c>
      <c r="K15" s="51">
        <v>2662</v>
      </c>
      <c r="L15" s="51" t="s">
        <v>81</v>
      </c>
      <c r="M15" s="52" t="s">
        <v>76</v>
      </c>
      <c r="N15" s="52" t="s">
        <v>61</v>
      </c>
      <c r="O15" s="53" t="s">
        <v>77</v>
      </c>
      <c r="P15" s="54" t="s">
        <v>82</v>
      </c>
    </row>
    <row r="16" spans="1:16" ht="12.75" customHeight="1">
      <c r="A16" s="23" t="str">
        <f t="shared" si="0"/>
        <v>IBVS 6029 </v>
      </c>
      <c r="B16" s="3" t="str">
        <f t="shared" si="1"/>
        <v>I</v>
      </c>
      <c r="C16" s="23">
        <f t="shared" si="2"/>
        <v>55956.6755</v>
      </c>
      <c r="D16" t="str">
        <f t="shared" si="3"/>
        <v>vis</v>
      </c>
      <c r="E16">
        <f>VLOOKUP(C16,A!C$21:E$973,3,FALSE)</f>
        <v>3280.9949612978794</v>
      </c>
      <c r="F16" s="3" t="s">
        <v>61</v>
      </c>
      <c r="G16" t="str">
        <f t="shared" si="4"/>
        <v>55956.6755</v>
      </c>
      <c r="H16" s="23">
        <f t="shared" si="5"/>
        <v>3038</v>
      </c>
      <c r="I16" s="51" t="s">
        <v>83</v>
      </c>
      <c r="J16" s="52" t="s">
        <v>84</v>
      </c>
      <c r="K16" s="51">
        <v>3038</v>
      </c>
      <c r="L16" s="51" t="s">
        <v>85</v>
      </c>
      <c r="M16" s="52" t="s">
        <v>76</v>
      </c>
      <c r="N16" s="52" t="s">
        <v>61</v>
      </c>
      <c r="O16" s="53" t="s">
        <v>77</v>
      </c>
      <c r="P16" s="54" t="s">
        <v>86</v>
      </c>
    </row>
    <row r="17" spans="1:16" ht="12.75" customHeight="1">
      <c r="A17" s="23" t="str">
        <f t="shared" si="0"/>
        <v>IBVS 6042 </v>
      </c>
      <c r="B17" s="3" t="str">
        <f t="shared" si="1"/>
        <v>I</v>
      </c>
      <c r="C17" s="23">
        <f t="shared" si="2"/>
        <v>56255.9151</v>
      </c>
      <c r="D17" t="str">
        <f t="shared" si="3"/>
        <v>vis</v>
      </c>
      <c r="E17">
        <f>VLOOKUP(C17,A!C$21:E$973,3,FALSE)</f>
        <v>3543.9949973325542</v>
      </c>
      <c r="F17" s="3" t="s">
        <v>61</v>
      </c>
      <c r="G17" t="str">
        <f t="shared" si="4"/>
        <v>56255.9151</v>
      </c>
      <c r="H17" s="23">
        <f t="shared" si="5"/>
        <v>3301</v>
      </c>
      <c r="I17" s="51" t="s">
        <v>87</v>
      </c>
      <c r="J17" s="52" t="s">
        <v>88</v>
      </c>
      <c r="K17" s="51">
        <v>3301</v>
      </c>
      <c r="L17" s="51" t="s">
        <v>70</v>
      </c>
      <c r="M17" s="52" t="s">
        <v>76</v>
      </c>
      <c r="N17" s="52" t="s">
        <v>61</v>
      </c>
      <c r="O17" s="53" t="s">
        <v>77</v>
      </c>
      <c r="P17" s="54" t="s">
        <v>89</v>
      </c>
    </row>
    <row r="18" spans="1:16" ht="12.75" customHeight="1">
      <c r="A18" s="23" t="str">
        <f t="shared" si="0"/>
        <v>OEJV 0160 </v>
      </c>
      <c r="B18" s="3" t="str">
        <f t="shared" si="1"/>
        <v>I</v>
      </c>
      <c r="C18" s="23">
        <f t="shared" si="2"/>
        <v>56293.4622</v>
      </c>
      <c r="D18" t="str">
        <f t="shared" si="3"/>
        <v>vis</v>
      </c>
      <c r="E18">
        <f>VLOOKUP(C18,A!C$21:E$973,3,FALSE)</f>
        <v>3576.9949366888372</v>
      </c>
      <c r="F18" s="3" t="s">
        <v>61</v>
      </c>
      <c r="G18" t="str">
        <f t="shared" si="4"/>
        <v>56293.4622</v>
      </c>
      <c r="H18" s="23">
        <f t="shared" si="5"/>
        <v>3334</v>
      </c>
      <c r="I18" s="51" t="s">
        <v>90</v>
      </c>
      <c r="J18" s="52" t="s">
        <v>91</v>
      </c>
      <c r="K18" s="51">
        <v>3334</v>
      </c>
      <c r="L18" s="51" t="s">
        <v>70</v>
      </c>
      <c r="M18" s="52" t="s">
        <v>76</v>
      </c>
      <c r="N18" s="52" t="s">
        <v>57</v>
      </c>
      <c r="O18" s="53" t="s">
        <v>92</v>
      </c>
      <c r="P18" s="54" t="s">
        <v>93</v>
      </c>
    </row>
    <row r="19" spans="1:16" ht="12.75" customHeight="1">
      <c r="A19" s="23" t="str">
        <f t="shared" si="0"/>
        <v>BAVM 144 </v>
      </c>
      <c r="B19" s="3" t="str">
        <f t="shared" si="1"/>
        <v>I</v>
      </c>
      <c r="C19" s="23">
        <f t="shared" si="2"/>
        <v>51957.3394</v>
      </c>
      <c r="D19" t="str">
        <f t="shared" si="3"/>
        <v>vis</v>
      </c>
      <c r="E19">
        <f>VLOOKUP(C19,A!C$21:E$973,3,FALSE)</f>
        <v>-233.99950606129778</v>
      </c>
      <c r="F19" s="3" t="s">
        <v>61</v>
      </c>
      <c r="G19" t="str">
        <f t="shared" si="4"/>
        <v>51957.3394</v>
      </c>
      <c r="H19" s="23">
        <f t="shared" si="5"/>
        <v>-477</v>
      </c>
      <c r="I19" s="51" t="s">
        <v>94</v>
      </c>
      <c r="J19" s="52" t="s">
        <v>95</v>
      </c>
      <c r="K19" s="51">
        <v>-477</v>
      </c>
      <c r="L19" s="51" t="s">
        <v>96</v>
      </c>
      <c r="M19" s="52" t="s">
        <v>65</v>
      </c>
      <c r="N19" s="52" t="s">
        <v>66</v>
      </c>
      <c r="O19" s="53" t="s">
        <v>97</v>
      </c>
      <c r="P19" s="54" t="s">
        <v>44</v>
      </c>
    </row>
  </sheetData>
  <sheetProtection selectLockedCells="1" selectUnlockedCells="1"/>
  <hyperlinks>
    <hyperlink ref="P12" r:id="rId1" display="BAVM 144 "/>
    <hyperlink ref="P13" r:id="rId2" display="BAVM 172 "/>
    <hyperlink ref="P14" r:id="rId3" display="IBVS 5894 "/>
    <hyperlink ref="P15" r:id="rId4" display="IBVS 5960 "/>
    <hyperlink ref="P16" r:id="rId5" display="IBVS 6029 "/>
    <hyperlink ref="P17" r:id="rId6" display="IBVS 6042 "/>
    <hyperlink ref="P18" r:id="rId7" display="OEJV 0160 "/>
    <hyperlink ref="P19" r:id="rId8" display="BAVM 144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2022-11-21T05:50:57Z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